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media/image109.webp" ContentType="image/webp"/>
  <Override PartName="/xl/media/image110.webp" ContentType="image/webp"/>
  <Override PartName="/xl/media/image111.webp" ContentType="image/webp"/>
  <Override PartName="/xl/media/image112.webp" ContentType="image/webp"/>
  <Override PartName="/xl/media/image113.webp" ContentType="image/webp"/>
  <Override PartName="/xl/media/image114.webp" ContentType="image/webp"/>
  <Override PartName="/xl/media/image115.webp" ContentType="image/webp"/>
  <Override PartName="/xl/media/image116.webp" ContentType="image/webp"/>
  <Override PartName="/xl/media/image117.webp" ContentType="image/webp"/>
  <Override PartName="/xl/media/image118.webp" ContentType="image/webp"/>
  <Override PartName="/xl/media/image119.webp" ContentType="image/webp"/>
  <Override PartName="/xl/media/image120.webp" ContentType="image/webp"/>
  <Override PartName="/xl/media/image121.webp" ContentType="image/webp"/>
  <Override PartName="/xl/media/image122.webp" ContentType="image/webp"/>
  <Override PartName="/xl/media/image123.webp" ContentType="image/webp"/>
  <Override PartName="/xl/media/image124.webp" ContentType="image/webp"/>
  <Override PartName="/xl/media/image125.webp" ContentType="image/webp"/>
  <Override PartName="/xl/media/image126.webp" ContentType="image/webp"/>
  <Override PartName="/xl/media/image127.webp" ContentType="image/webp"/>
  <Override PartName="/xl/media/image128.webp" ContentType="image/webp"/>
  <Override PartName="/xl/media/image129.webp" ContentType="image/webp"/>
  <Override PartName="/xl/media/image130.webp" ContentType="image/webp"/>
  <Override PartName="/xl/media/image131.webp" ContentType="image/webp"/>
  <Override PartName="/xl/media/image132.webp" ContentType="image/webp"/>
  <Override PartName="/xl/media/image133.webp" ContentType="image/webp"/>
  <Override PartName="/xl/media/image134.webp" ContentType="image/webp"/>
  <Override PartName="/xl/media/image135.webp" ContentType="image/webp"/>
  <Override PartName="/xl/media/image136.webp" ContentType="image/webp"/>
  <Override PartName="/xl/media/image137.webp" ContentType="image/webp"/>
  <Override PartName="/xl/media/image138.webp" ContentType="image/webp"/>
  <Override PartName="/xl/media/image139.webp" ContentType="image/webp"/>
  <Override PartName="/xl/media/image140.webp" ContentType="image/webp"/>
  <Override PartName="/xl/media/image141.webp" ContentType="image/webp"/>
  <Override PartName="/xl/media/image142.webp" ContentType="image/webp"/>
  <Override PartName="/xl/media/image143.webp" ContentType="image/webp"/>
  <Override PartName="/xl/media/image145.webp" ContentType="image/webp"/>
  <Override PartName="/xl/media/image146.webp" ContentType="image/webp"/>
  <Override PartName="/xl/media/image147.webp" ContentType="image/webp"/>
  <Override PartName="/xl/media/image148.webp" ContentType="image/webp"/>
  <Override PartName="/xl/media/image149.webp" ContentType="image/webp"/>
  <Override PartName="/xl/media/image150.webp" ContentType="image/webp"/>
  <Override PartName="/xl/media/image151.webp" ContentType="image/webp"/>
  <Override PartName="/xl/media/image260.webp" ContentType="image/webp"/>
  <Override PartName="/xl/media/image269.webp" ContentType="image/webp"/>
  <Override PartName="/xl/media/image271.webp" ContentType="image/webp"/>
  <Override PartName="/xl/media/image280.webp" ContentType="image/webp"/>
  <Override PartName="/xl/media/image282.webp" ContentType="image/webp"/>
  <Override PartName="/xl/media/image283.webp" ContentType="image/webp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795" windowHeight="17655" firstSheet="3" activeTab="1"/>
  </bookViews>
  <sheets>
    <sheet name="首页" sheetId="10" r:id="rId1"/>
    <sheet name="抖音自孵达人" sheetId="1" r:id="rId2"/>
    <sheet name="抖音外签达人" sheetId="2" r:id="rId3"/>
    <sheet name="小红书" sheetId="5" r:id="rId4"/>
    <sheet name="懂车帝" sheetId="11" r:id="rId5"/>
    <sheet name="视频号" sheetId="8" r:id="rId6"/>
    <sheet name="快手" sheetId="4" r:id="rId7"/>
    <sheet name="B站" sheetId="6" r:id="rId8"/>
    <sheet name="抖音独家达人 " sheetId="12" r:id="rId9"/>
  </sheets>
  <definedNames>
    <definedName name="_xlnm._FilterDatabase" localSheetId="1" hidden="1">抖音自孵达人!$A$2:$AE$110</definedName>
    <definedName name="_xlnm._FilterDatabase" localSheetId="2" hidden="1">抖音外签达人!$A$2:$O$36</definedName>
    <definedName name="_xlnm._FilterDatabase" localSheetId="3" hidden="1">小红书!$A$2:$O$60</definedName>
    <definedName name="_xlnm._FilterDatabase" localSheetId="4" hidden="1">懂车帝!$A$2:$H$8</definedName>
    <definedName name="_xlnm._FilterDatabase" localSheetId="5" hidden="1">视频号!$A$2:$I$28</definedName>
    <definedName name="_xlnm._FilterDatabase" localSheetId="6" hidden="1">快手!$A$2:$N$30</definedName>
    <definedName name="_xlnm._FilterDatabase" localSheetId="7" hidden="1">B站!$A$2:$M$15</definedName>
    <definedName name="_xlnm._FilterDatabase" localSheetId="8" hidden="1">'抖音独家达人 '!$A$2:$XEV$44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8" name="ID_AE0FADB7180045B4A3DFEFA8B30AE612" descr="清妍-头像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770" y="6481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7" name="ID_1DD451BE884443BD89AF331DE5850639" descr="缁村Ξ鍎緿ance馃懀澶村儚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53770" y="6417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6" name="ID_1E3496E9C6C14248A4AB0CED55EB7B22" descr="四九头像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953770" y="6354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5" name="ID_2D918995B2494A658A308D54EF1B22DA" descr="宛庭头像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953770" y="6290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4" name="ID_EAA13C94DEE44554B6E5FF457FBA0BD5" descr="花千小骨⁸²¹🕌头像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953770" y="6227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3" name="ID_BFD3B791873840F7A6BD274172DDF735" descr="寮犲ソ濂界埍鍚冮奔馃惉澶村儚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953770" y="6163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2" name="ID_D8999301ECE74ADC88F016B6B888ED40" descr="鹿儿er头像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3770" y="6100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1" name="ID_AB48B69CFF0E4D1489CF29B96309937F" descr="多加点DuoDian头像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953770" y="6036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8" name="ID_4925C17C02D74797915088ED02389808" descr="斯娘头像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953770" y="5814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7" name="ID_1854D7164B524CD2A6F27AFCD5B8ADB0" descr="小程不是小陈也不是小成头像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953770" y="5751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6" name="ID_E9A3F52CB0E341E39B85A3A3E26B167B" descr="刘贺儿头像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53770" y="5687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5" name="ID_830D7BF9822C4C5DA11066C440555B66" descr="二同哥哥头像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953770" y="5624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4" name="ID_AE9EE02D9381402A8221747B347CE141" descr="小林綠头像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953770" y="556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3" name="ID_7E536C157BFD4F9ABED710D9123262B6" descr="彦儿日常头像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953770" y="549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2" name="ID_4F316C459DC54E2496697C253DDA406C" descr="渣男金乘五头像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953770" y="5433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9" name="ID_C1C3DD1673964338A003046528408D06" descr="暴走萝莉-尧洋头像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953770" y="5243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7" name="ID_4667BC96DDF2491FBB744EB49DCB619C" descr="管家小葛头像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953770" y="5116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6" name="ID_3246E6416F054975A4AEB2EFBF73C7D8" descr="徐十七嘛头像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953770" y="5052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5" name="ID_297283D20B12454EBBC647E91C93E809" descr="棚棚朱古力头像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953770" y="4989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4" name="ID_6DDB3F0B8C864F73A8C54F8BBC2991AA" descr="北方姑娘（糖糖）头像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953770" y="4925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3" name="ID_DD6BE69C018A4D75A9AFFE009D0191C5" descr="你的最佳男友头像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953770" y="4830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2" name="ID_20EB524645A64250A82E41D66BAD8E4C" descr="谢潇羽x头像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953770" y="4766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8" name="ID_B04708EBD51D47E89C0F5A8CA1C42320" descr="赛罗的宝贝头像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953770" y="4576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7" name="ID_44D397F4750E494295ED546A1F11416C" descr="阿然头像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953770" y="4512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6" name="ID_0DCD5B3AA2464438B079367360238EC8" descr="晨晓义头像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953770" y="4449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3" name="ID_3F1759559AB940A6A95E542A6EDD73B0" descr="三千企鹅头像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953770" y="4385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6" name="ID_AD67692D60824374B3128ACC0AAAE321" descr="一个幽灵头像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953770" y="429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5" name="ID_854255A79A754EAEB34FAE071AA75CD8" descr="一根藤上五朵花头像"/>
        <xdr:cNvPicPr>
          <a:picLocks noChangeAspect="1"/>
        </xdr:cNvPicPr>
      </xdr:nvPicPr>
      <xdr:blipFill>
        <a:blip r:embed="rId29" r:link="rId2"/>
        <a:stretch>
          <a:fillRect/>
        </a:stretch>
      </xdr:blipFill>
      <xdr:spPr>
        <a:xfrm>
          <a:off x="953770" y="422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4" name="ID_228468B14D42421DA055159B9FA047AF" descr="小蒙古腾宝头像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53770" y="4163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3" name="ID_087DE66911BC4A23A30A66A1676ADC1E" descr="盆盆Penny头像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953770" y="4100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2" name="ID_D3746F5F0C434E6C947859C6AE53CE2A" descr="九九我啊-头像"/>
        <xdr:cNvPicPr>
          <a:picLocks noChangeAspect="1"/>
        </xdr:cNvPicPr>
      </xdr:nvPicPr>
      <xdr:blipFill>
        <a:blip r:embed="rId32" r:link="rId2"/>
        <a:stretch>
          <a:fillRect/>
        </a:stretch>
      </xdr:blipFill>
      <xdr:spPr>
        <a:xfrm>
          <a:off x="953770" y="4036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0" name="ID_DC126CE61D9344459D5C67F122FC46EE" descr="侯博_头像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953770" y="3909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9" name="ID_2A909E8A25084C82BBCCB7755957DE7A" descr="我是小程同学头像"/>
        <xdr:cNvPicPr>
          <a:picLocks noChangeAspect="1"/>
        </xdr:cNvPicPr>
      </xdr:nvPicPr>
      <xdr:blipFill>
        <a:blip r:embed="rId34" r:link="rId2"/>
        <a:stretch>
          <a:fillRect/>
        </a:stretch>
      </xdr:blipFill>
      <xdr:spPr>
        <a:xfrm>
          <a:off x="953770" y="3846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8" name="ID_96F902CF6DC9447CA83C0F706D1423F1" descr="张若好头像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953770" y="3750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6" name="ID_918CC43491354479B68FB81A3D0E4BA3" descr="张什什头像"/>
        <xdr:cNvPicPr>
          <a:picLocks noChangeAspect="1"/>
        </xdr:cNvPicPr>
      </xdr:nvPicPr>
      <xdr:blipFill>
        <a:blip r:embed="rId36" r:link="rId2"/>
        <a:stretch>
          <a:fillRect/>
        </a:stretch>
      </xdr:blipFill>
      <xdr:spPr>
        <a:xfrm>
          <a:off x="953770" y="3623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5" name="ID_04B9406E73AD45868CFDE025F1A67C64" descr="金陵奇怪的烧饼头像"/>
        <xdr:cNvPicPr>
          <a:picLocks noChangeAspect="1"/>
        </xdr:cNvPicPr>
      </xdr:nvPicPr>
      <xdr:blipFill>
        <a:blip r:embed="rId37" r:link="rId2"/>
        <a:stretch>
          <a:fillRect/>
        </a:stretch>
      </xdr:blipFill>
      <xdr:spPr>
        <a:xfrm>
          <a:off x="953770" y="3560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5" name="ID_E612ACA65138477AA6E959FC6871AA0D" descr="妍甄sama头像"/>
        <xdr:cNvPicPr>
          <a:picLocks noChangeAspect="1"/>
        </xdr:cNvPicPr>
      </xdr:nvPicPr>
      <xdr:blipFill>
        <a:blip r:embed="rId38" r:link="rId2"/>
        <a:stretch>
          <a:fillRect/>
        </a:stretch>
      </xdr:blipFill>
      <xdr:spPr>
        <a:xfrm>
          <a:off x="953770" y="3465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4" name="ID_A412230D60AB468488551983E18F68BC" descr="小蒋同学头像"/>
        <xdr:cNvPicPr>
          <a:picLocks noChangeAspect="1"/>
        </xdr:cNvPicPr>
      </xdr:nvPicPr>
      <xdr:blipFill>
        <a:blip r:embed="rId39" r:link="rId2"/>
        <a:stretch>
          <a:fillRect/>
        </a:stretch>
      </xdr:blipFill>
      <xdr:spPr>
        <a:xfrm>
          <a:off x="953770" y="3401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1" name="ID_F02F4A17A7024B73921EEC930E05E90D" descr="敢敢头像"/>
        <xdr:cNvPicPr>
          <a:picLocks noChangeAspect="1"/>
        </xdr:cNvPicPr>
      </xdr:nvPicPr>
      <xdr:blipFill>
        <a:blip r:embed="rId40" r:link="rId2"/>
        <a:stretch>
          <a:fillRect/>
        </a:stretch>
      </xdr:blipFill>
      <xdr:spPr>
        <a:xfrm>
          <a:off x="953770" y="3274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0" name="ID_C5E246FCA791438196769AD06E435DBF" descr="木 木头像"/>
        <xdr:cNvPicPr>
          <a:picLocks noChangeAspect="1"/>
        </xdr:cNvPicPr>
      </xdr:nvPicPr>
      <xdr:blipFill>
        <a:blip r:embed="rId41" r:link="rId2"/>
        <a:stretch>
          <a:fillRect/>
        </a:stretch>
      </xdr:blipFill>
      <xdr:spPr>
        <a:xfrm>
          <a:off x="953770" y="3211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9" name="ID_9C9A0000A3A344BA99368A2B3BC10434" descr="一个美少鹿头像"/>
        <xdr:cNvPicPr>
          <a:picLocks noChangeAspect="1"/>
        </xdr:cNvPicPr>
      </xdr:nvPicPr>
      <xdr:blipFill>
        <a:blip r:embed="rId42" r:link="rId2"/>
        <a:stretch>
          <a:fillRect/>
        </a:stretch>
      </xdr:blipFill>
      <xdr:spPr>
        <a:xfrm>
          <a:off x="953770" y="3147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8" name="ID_2FF67B11DFB0425692DB0B5545CE743A" descr="小四四🍒头像"/>
        <xdr:cNvPicPr>
          <a:picLocks noChangeAspect="1"/>
        </xdr:cNvPicPr>
      </xdr:nvPicPr>
      <xdr:blipFill>
        <a:blip r:embed="rId43" r:link="rId2"/>
        <a:stretch>
          <a:fillRect/>
        </a:stretch>
      </xdr:blipFill>
      <xdr:spPr>
        <a:xfrm>
          <a:off x="953770" y="3084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" name="ID_0580F2861D774B8A81FE11D0A7A751A0" descr="韦康vico头像"/>
        <xdr:cNvPicPr>
          <a:picLocks noChangeAspect="1"/>
        </xdr:cNvPicPr>
      </xdr:nvPicPr>
      <xdr:blipFill>
        <a:blip r:embed="rId44" r:link="rId2"/>
        <a:stretch>
          <a:fillRect/>
        </a:stretch>
      </xdr:blipFill>
      <xdr:spPr>
        <a:xfrm>
          <a:off x="953770" y="226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" name="ID_8B1A5379A37A4735923A64D5881D8A37" descr="朱铁雄头像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953770" y="1626235"/>
          <a:ext cx="552450" cy="56007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" name="ID_B5EF5E77D86345B7A9A6A02B63F067DE" descr="西瓜奇幻工厂头像"/>
        <xdr:cNvPicPr>
          <a:picLocks noChangeAspect="1"/>
        </xdr:cNvPicPr>
      </xdr:nvPicPr>
      <xdr:blipFill>
        <a:blip r:embed="rId46" r:link="rId2"/>
        <a:stretch>
          <a:fillRect/>
        </a:stretch>
      </xdr:blipFill>
      <xdr:spPr>
        <a:xfrm>
          <a:off x="953770" y="290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" name="ID_BF25C8DEAD444832BC4991F24EC25453" descr="阿财没饭吃头像"/>
        <xdr:cNvPicPr>
          <a:picLocks noChangeAspect="1"/>
        </xdr:cNvPicPr>
      </xdr:nvPicPr>
      <xdr:blipFill>
        <a:blip r:embed="rId47" r:link="rId2"/>
        <a:stretch>
          <a:fillRect/>
        </a:stretch>
      </xdr:blipFill>
      <xdr:spPr>
        <a:xfrm>
          <a:off x="953770" y="353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" name="ID_F2465015B1084BD0916D0D4A3FB710D5" descr="彦儿头像"/>
        <xdr:cNvPicPr>
          <a:picLocks noChangeAspect="1"/>
        </xdr:cNvPicPr>
      </xdr:nvPicPr>
      <xdr:blipFill>
        <a:blip r:embed="rId48" r:link="rId2"/>
        <a:stretch>
          <a:fillRect/>
        </a:stretch>
      </xdr:blipFill>
      <xdr:spPr>
        <a:xfrm>
          <a:off x="953770" y="41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" name="ID_539BCED200DC418DA80390830AE35518" descr="加菲菡z头像"/>
        <xdr:cNvPicPr>
          <a:picLocks noChangeAspect="1"/>
        </xdr:cNvPicPr>
      </xdr:nvPicPr>
      <xdr:blipFill>
        <a:blip r:embed="rId49" r:link="rId2"/>
        <a:stretch>
          <a:fillRect/>
        </a:stretch>
      </xdr:blipFill>
      <xdr:spPr>
        <a:xfrm>
          <a:off x="953770" y="48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" name="ID_1BC942DF6B584A02B1D768100B32EF70" descr="无糖奶茶头像"/>
        <xdr:cNvPicPr>
          <a:picLocks noChangeAspect="1"/>
        </xdr:cNvPicPr>
      </xdr:nvPicPr>
      <xdr:blipFill>
        <a:blip r:embed="rId50" r:link="rId2"/>
        <a:stretch>
          <a:fillRect/>
        </a:stretch>
      </xdr:blipFill>
      <xdr:spPr>
        <a:xfrm>
          <a:off x="953770" y="544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" name="ID_318740AF549F4708BB02E02E05CFE37C" descr="周三拾头像"/>
        <xdr:cNvPicPr>
          <a:picLocks noChangeAspect="1"/>
        </xdr:cNvPicPr>
      </xdr:nvPicPr>
      <xdr:blipFill>
        <a:blip r:embed="rId51" r:link="rId2"/>
        <a:stretch>
          <a:fillRect/>
        </a:stretch>
      </xdr:blipFill>
      <xdr:spPr>
        <a:xfrm>
          <a:off x="953770" y="607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" name="ID_CFC7EBDA34574183B86BA9DB2E6A9DEE" descr="大黄h头像"/>
        <xdr:cNvPicPr>
          <a:picLocks noChangeAspect="1"/>
        </xdr:cNvPicPr>
      </xdr:nvPicPr>
      <xdr:blipFill>
        <a:blip r:embed="rId52" r:link="rId2"/>
        <a:stretch>
          <a:fillRect/>
        </a:stretch>
      </xdr:blipFill>
      <xdr:spPr>
        <a:xfrm>
          <a:off x="953770" y="671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" name="ID_EEC77C4673CE40A2AA11F908ADC8ABA3" descr="婵婵说头像"/>
        <xdr:cNvPicPr>
          <a:picLocks noChangeAspect="1"/>
        </xdr:cNvPicPr>
      </xdr:nvPicPr>
      <xdr:blipFill>
        <a:blip r:embed="rId53" r:link="rId2"/>
        <a:stretch>
          <a:fillRect/>
        </a:stretch>
      </xdr:blipFill>
      <xdr:spPr>
        <a:xfrm>
          <a:off x="953770" y="734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" name="ID_FEA892292C9F41DC88FCF6A565C5188F" descr="胖嘟嘟的嘟嘟头像"/>
        <xdr:cNvPicPr>
          <a:picLocks noChangeAspect="1"/>
        </xdr:cNvPicPr>
      </xdr:nvPicPr>
      <xdr:blipFill>
        <a:blip r:embed="rId54" r:link="rId2"/>
        <a:stretch>
          <a:fillRect/>
        </a:stretch>
      </xdr:blipFill>
      <xdr:spPr>
        <a:xfrm>
          <a:off x="953770" y="798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" name="ID_D54C7699201241D3AFE0050FF29CC82A" descr="靖雅欧巴头像"/>
        <xdr:cNvPicPr>
          <a:picLocks noChangeAspect="1"/>
        </xdr:cNvPicPr>
      </xdr:nvPicPr>
      <xdr:blipFill>
        <a:blip r:embed="rId55" r:link="rId2"/>
        <a:stretch>
          <a:fillRect/>
        </a:stretch>
      </xdr:blipFill>
      <xdr:spPr>
        <a:xfrm>
          <a:off x="953770" y="861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" name="ID_13688EB241364A2B81A7EC2777D4A67C" descr="李二狗头像"/>
        <xdr:cNvPicPr>
          <a:picLocks noChangeAspect="1"/>
        </xdr:cNvPicPr>
      </xdr:nvPicPr>
      <xdr:blipFill>
        <a:blip r:embed="rId56" r:link="rId2"/>
        <a:stretch>
          <a:fillRect/>
        </a:stretch>
      </xdr:blipFill>
      <xdr:spPr>
        <a:xfrm>
          <a:off x="953770" y="1020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" name="ID_25CF9ED5D08F4EC3B8261E1D3DA75E6B" descr="极速马力Part头像"/>
        <xdr:cNvPicPr>
          <a:picLocks noChangeAspect="1"/>
        </xdr:cNvPicPr>
      </xdr:nvPicPr>
      <xdr:blipFill>
        <a:blip r:embed="rId57" r:link="rId2"/>
        <a:stretch>
          <a:fillRect/>
        </a:stretch>
      </xdr:blipFill>
      <xdr:spPr>
        <a:xfrm>
          <a:off x="953770" y="1083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" name="ID_91A28B02F28F40E9BA4BAABE37226319" descr="白老师就是白老师头像"/>
        <xdr:cNvPicPr>
          <a:picLocks noChangeAspect="1"/>
        </xdr:cNvPicPr>
      </xdr:nvPicPr>
      <xdr:blipFill>
        <a:blip r:embed="rId58" r:link="rId2"/>
        <a:stretch>
          <a:fillRect/>
        </a:stretch>
      </xdr:blipFill>
      <xdr:spPr>
        <a:xfrm>
          <a:off x="953770" y="1147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9" name="ID_4BB75004A5214030A47B0EC4A3C051CB" descr="丁啊叮头像"/>
        <xdr:cNvPicPr>
          <a:picLocks noChangeAspect="1"/>
        </xdr:cNvPicPr>
      </xdr:nvPicPr>
      <xdr:blipFill>
        <a:blip r:embed="rId59" r:link="rId2"/>
        <a:stretch>
          <a:fillRect/>
        </a:stretch>
      </xdr:blipFill>
      <xdr:spPr>
        <a:xfrm>
          <a:off x="953770" y="1274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2" name="ID_1AD7FD21BEB54C18981E40DA34D8D2E3" descr="皮卡白的日常头像"/>
        <xdr:cNvPicPr>
          <a:picLocks noChangeAspect="1"/>
        </xdr:cNvPicPr>
      </xdr:nvPicPr>
      <xdr:blipFill>
        <a:blip r:embed="rId60" r:link="rId2"/>
        <a:stretch>
          <a:fillRect/>
        </a:stretch>
      </xdr:blipFill>
      <xdr:spPr>
        <a:xfrm>
          <a:off x="953770" y="1464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" name="ID_2C935C190FE24B4C8D67824FAA1EEA29" descr="超不可爱小朋友头像"/>
        <xdr:cNvPicPr>
          <a:picLocks noChangeAspect="1"/>
        </xdr:cNvPicPr>
      </xdr:nvPicPr>
      <xdr:blipFill>
        <a:blip r:embed="rId61" r:link="rId2"/>
        <a:stretch>
          <a:fillRect/>
        </a:stretch>
      </xdr:blipFill>
      <xdr:spPr>
        <a:xfrm>
          <a:off x="953770" y="1560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" name="ID_7542F921225141E8913F0A8FFA70BFFC" descr="泽陽.头像"/>
        <xdr:cNvPicPr>
          <a:picLocks noChangeAspect="1"/>
        </xdr:cNvPicPr>
      </xdr:nvPicPr>
      <xdr:blipFill>
        <a:blip r:embed="rId62" r:link="rId2"/>
        <a:stretch>
          <a:fillRect/>
        </a:stretch>
      </xdr:blipFill>
      <xdr:spPr>
        <a:xfrm>
          <a:off x="953770" y="1623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6" name="ID_3AEE1533498C42C682BDD6B9C65794AD" descr="Cn 脸扁头像"/>
        <xdr:cNvPicPr>
          <a:picLocks noChangeAspect="1"/>
        </xdr:cNvPicPr>
      </xdr:nvPicPr>
      <xdr:blipFill>
        <a:blip r:embed="rId63" r:link="rId2"/>
        <a:stretch>
          <a:fillRect/>
        </a:stretch>
      </xdr:blipFill>
      <xdr:spPr>
        <a:xfrm>
          <a:off x="953770" y="168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7" name="ID_E65F31F26679490A80EC65F48E8EC704" descr="鹿里真茗-头像"/>
        <xdr:cNvPicPr>
          <a:picLocks noChangeAspect="1"/>
        </xdr:cNvPicPr>
      </xdr:nvPicPr>
      <xdr:blipFill>
        <a:blip r:embed="rId64" r:link="rId2"/>
        <a:stretch>
          <a:fillRect/>
        </a:stretch>
      </xdr:blipFill>
      <xdr:spPr>
        <a:xfrm>
          <a:off x="953770" y="175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8" name="ID_A72D91D1F8AA4E5DB1D578D1F96213F5" descr="小年Nian（导演，演员，coser版）头像"/>
        <xdr:cNvPicPr>
          <a:picLocks noChangeAspect="1"/>
        </xdr:cNvPicPr>
      </xdr:nvPicPr>
      <xdr:blipFill>
        <a:blip r:embed="rId65" r:link="rId2"/>
        <a:stretch>
          <a:fillRect/>
        </a:stretch>
      </xdr:blipFill>
      <xdr:spPr>
        <a:xfrm>
          <a:off x="953770" y="1814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9" name="ID_58CB13A978C944FEAE326BEF7E8454C2" descr="聪仔头像"/>
        <xdr:cNvPicPr>
          <a:picLocks noChangeAspect="1"/>
        </xdr:cNvPicPr>
      </xdr:nvPicPr>
      <xdr:blipFill>
        <a:blip r:embed="rId66" r:link="rId2"/>
        <a:stretch>
          <a:fillRect/>
        </a:stretch>
      </xdr:blipFill>
      <xdr:spPr>
        <a:xfrm>
          <a:off x="953770" y="1909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0" name="ID_8BCE00600B2C4CC8B5E75810E8F2F99B" descr="连蜜.头像"/>
        <xdr:cNvPicPr>
          <a:picLocks noChangeAspect="1"/>
        </xdr:cNvPicPr>
      </xdr:nvPicPr>
      <xdr:blipFill>
        <a:blip r:embed="rId67" r:link="rId2"/>
        <a:stretch>
          <a:fillRect/>
        </a:stretch>
      </xdr:blipFill>
      <xdr:spPr>
        <a:xfrm>
          <a:off x="953770" y="1972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2" name="ID_4D2DF88B0E1B48C4960BD88ED302D742" descr="周星辰_头像"/>
        <xdr:cNvPicPr>
          <a:picLocks noChangeAspect="1"/>
        </xdr:cNvPicPr>
      </xdr:nvPicPr>
      <xdr:blipFill>
        <a:blip r:embed="rId68" r:link="rId2"/>
        <a:stretch>
          <a:fillRect/>
        </a:stretch>
      </xdr:blipFill>
      <xdr:spPr>
        <a:xfrm>
          <a:off x="953770" y="2099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3" name="ID_5C96A558D2814A1081C1D1C7C29F22F8" descr="比格费西头像"/>
        <xdr:cNvPicPr>
          <a:picLocks noChangeAspect="1"/>
        </xdr:cNvPicPr>
      </xdr:nvPicPr>
      <xdr:blipFill>
        <a:blip r:embed="rId69" r:link="rId2"/>
        <a:stretch>
          <a:fillRect/>
        </a:stretch>
      </xdr:blipFill>
      <xdr:spPr>
        <a:xfrm>
          <a:off x="953770" y="2163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7" name="ID_DE278334E28B49CCB87A3206F1ECC926" descr="雪蕊呀！头像"/>
        <xdr:cNvPicPr>
          <a:picLocks noChangeAspect="1"/>
        </xdr:cNvPicPr>
      </xdr:nvPicPr>
      <xdr:blipFill>
        <a:blip r:embed="rId70" r:link="rId2"/>
        <a:stretch>
          <a:fillRect/>
        </a:stretch>
      </xdr:blipFill>
      <xdr:spPr>
        <a:xfrm>
          <a:off x="953770" y="2322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4" name="ID_84E09DBA04F449429C52A0F8BBF9511A" descr="王情水头像"/>
        <xdr:cNvPicPr>
          <a:picLocks noChangeAspect="1"/>
        </xdr:cNvPicPr>
      </xdr:nvPicPr>
      <xdr:blipFill>
        <a:blip r:embed="rId71" r:link="rId2"/>
        <a:stretch>
          <a:fillRect/>
        </a:stretch>
      </xdr:blipFill>
      <xdr:spPr>
        <a:xfrm>
          <a:off x="953770" y="2385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4" name="ID_983AF3551FD142A28B6EF5D37FE90C59" descr="豚豚SAMA头像"/>
        <xdr:cNvPicPr>
          <a:picLocks noChangeAspect="1"/>
        </xdr:cNvPicPr>
      </xdr:nvPicPr>
      <xdr:blipFill>
        <a:blip r:embed="rId72" r:link="rId2"/>
        <a:stretch>
          <a:fillRect/>
        </a:stretch>
      </xdr:blipFill>
      <xdr:spPr>
        <a:xfrm>
          <a:off x="953770" y="2449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8" name="ID_ACC5A9162EF34D1C82966AE35BC5288E" descr="梦轩头像"/>
        <xdr:cNvPicPr>
          <a:picLocks noChangeAspect="1"/>
        </xdr:cNvPicPr>
      </xdr:nvPicPr>
      <xdr:blipFill>
        <a:blip r:embed="rId73" r:link="rId2"/>
        <a:stretch>
          <a:fillRect/>
        </a:stretch>
      </xdr:blipFill>
      <xdr:spPr>
        <a:xfrm>
          <a:off x="953770" y="2576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9" name="ID_5A2303BEB2E64EB79F2228CF37EA448D" descr="是腿腿耶头像"/>
        <xdr:cNvPicPr>
          <a:picLocks noChangeAspect="1"/>
        </xdr:cNvPicPr>
      </xdr:nvPicPr>
      <xdr:blipFill>
        <a:blip r:embed="rId74" r:link="rId2"/>
        <a:stretch>
          <a:fillRect/>
        </a:stretch>
      </xdr:blipFill>
      <xdr:spPr>
        <a:xfrm>
          <a:off x="953770" y="2639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0" name="ID_A06A04E18C8443698F5C8FFB59C2D25A" descr="保琳球有点胖头像"/>
        <xdr:cNvPicPr>
          <a:picLocks noChangeAspect="1"/>
        </xdr:cNvPicPr>
      </xdr:nvPicPr>
      <xdr:blipFill>
        <a:blip r:embed="rId75" r:link="rId2"/>
        <a:stretch>
          <a:fillRect/>
        </a:stretch>
      </xdr:blipFill>
      <xdr:spPr>
        <a:xfrm>
          <a:off x="953770" y="2703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1" name="ID_09BA762471984DF08FF683F37060C85D" descr="不知名网友酥头像"/>
        <xdr:cNvPicPr>
          <a:picLocks noChangeAspect="1"/>
        </xdr:cNvPicPr>
      </xdr:nvPicPr>
      <xdr:blipFill>
        <a:blip r:embed="rId76" r:link="rId2"/>
        <a:stretch>
          <a:fillRect/>
        </a:stretch>
      </xdr:blipFill>
      <xdr:spPr>
        <a:xfrm>
          <a:off x="953770" y="2766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2" name="ID_B69A1776C37C44EBB2E001E6E9DF2520" descr="九觅在这儿头像"/>
        <xdr:cNvPicPr>
          <a:picLocks noChangeAspect="1"/>
        </xdr:cNvPicPr>
      </xdr:nvPicPr>
      <xdr:blipFill>
        <a:blip r:embed="rId77" r:link="rId2"/>
        <a:stretch>
          <a:fillRect/>
        </a:stretch>
      </xdr:blipFill>
      <xdr:spPr>
        <a:xfrm>
          <a:off x="953770" y="2830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9" name="ID_EFC9750CF8E540E9B6079702B9F810EA" descr="北鼻小天头像"/>
        <xdr:cNvPicPr>
          <a:picLocks noChangeAspect="1"/>
        </xdr:cNvPicPr>
      </xdr:nvPicPr>
      <xdr:blipFill>
        <a:blip r:embed="rId78" r:link="rId2"/>
        <a:stretch>
          <a:fillRect/>
        </a:stretch>
      </xdr:blipFill>
      <xdr:spPr>
        <a:xfrm>
          <a:off x="953770" y="2893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7" name="ID_792E1E57CCA94F6DA3311C7643148082" descr="莫得感情的小葛头像"/>
        <xdr:cNvPicPr>
          <a:picLocks noChangeAspect="1"/>
        </xdr:cNvPicPr>
      </xdr:nvPicPr>
      <xdr:blipFill>
        <a:blip r:embed="rId79" r:link="rId2"/>
        <a:stretch>
          <a:fillRect/>
        </a:stretch>
      </xdr:blipFill>
      <xdr:spPr>
        <a:xfrm>
          <a:off x="953770" y="302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92" name="ID_B79FA78A6504466B86006391C997951C" descr="车圈小晨头像"/>
        <xdr:cNvPicPr>
          <a:picLocks noChangeAspect="1"/>
        </xdr:cNvPicPr>
      </xdr:nvPicPr>
      <xdr:blipFill>
        <a:blip r:embed="rId80" r:link="rId2"/>
        <a:stretch>
          <a:fillRect/>
        </a:stretch>
      </xdr:blipFill>
      <xdr:spPr>
        <a:xfrm>
          <a:off x="1220470" y="18053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91" name="ID_D42E536C5EDA4EDD8A56237D9040927D" descr="小电电🌻头像"/>
        <xdr:cNvPicPr>
          <a:picLocks noChangeAspect="1"/>
        </xdr:cNvPicPr>
      </xdr:nvPicPr>
      <xdr:blipFill>
        <a:blip r:embed="rId81" r:link="rId2"/>
        <a:stretch>
          <a:fillRect/>
        </a:stretch>
      </xdr:blipFill>
      <xdr:spPr>
        <a:xfrm>
          <a:off x="1220470" y="17545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90" name="ID_1BE1D3D5BDC142DB849E8ADC45855026" descr="做夢头像"/>
        <xdr:cNvPicPr>
          <a:picLocks noChangeAspect="1"/>
        </xdr:cNvPicPr>
      </xdr:nvPicPr>
      <xdr:blipFill>
        <a:blip r:embed="rId82" r:link="rId2"/>
        <a:stretch>
          <a:fillRect/>
        </a:stretch>
      </xdr:blipFill>
      <xdr:spPr>
        <a:xfrm>
          <a:off x="1220470" y="1703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9" name="ID_AB0811B705144A9EB90A5C39D8CFB0FC" descr="蛋炒饭🥚头像"/>
        <xdr:cNvPicPr>
          <a:picLocks noChangeAspect="1"/>
        </xdr:cNvPicPr>
      </xdr:nvPicPr>
      <xdr:blipFill>
        <a:blip r:embed="rId83" r:link="rId2"/>
        <a:stretch>
          <a:fillRect/>
        </a:stretch>
      </xdr:blipFill>
      <xdr:spPr>
        <a:xfrm>
          <a:off x="1220470" y="16529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8" name="ID_F02E829ADFC347619D451B622CB610EA" descr="东东头像"/>
        <xdr:cNvPicPr>
          <a:picLocks noChangeAspect="1"/>
        </xdr:cNvPicPr>
      </xdr:nvPicPr>
      <xdr:blipFill>
        <a:blip r:embed="rId84" r:link="rId2"/>
        <a:stretch>
          <a:fillRect/>
        </a:stretch>
      </xdr:blipFill>
      <xdr:spPr>
        <a:xfrm>
          <a:off x="1220470" y="1602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7" name="ID_3D0895DB568B4559B7AC54257B672534" descr="廖健淇头像"/>
        <xdr:cNvPicPr>
          <a:picLocks noChangeAspect="1"/>
        </xdr:cNvPicPr>
      </xdr:nvPicPr>
      <xdr:blipFill>
        <a:blip r:embed="rId85" r:link="rId2"/>
        <a:stretch>
          <a:fillRect/>
        </a:stretch>
      </xdr:blipFill>
      <xdr:spPr>
        <a:xfrm>
          <a:off x="1220470" y="15513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6" name="ID_6CC9BDC92F1045FCAC830843B1763C85" descr="源来凌晨头像"/>
        <xdr:cNvPicPr>
          <a:picLocks noChangeAspect="1"/>
        </xdr:cNvPicPr>
      </xdr:nvPicPr>
      <xdr:blipFill>
        <a:blip r:embed="rId86" r:link="rId2"/>
        <a:stretch>
          <a:fillRect/>
        </a:stretch>
      </xdr:blipFill>
      <xdr:spPr>
        <a:xfrm>
          <a:off x="1220470" y="15005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5" name="ID_4390B0010FEE44C9B5A3D6C8B9DE9FC1" descr="瑞尔.头像"/>
        <xdr:cNvPicPr>
          <a:picLocks noChangeAspect="1"/>
        </xdr:cNvPicPr>
      </xdr:nvPicPr>
      <xdr:blipFill>
        <a:blip r:embed="rId87" r:link="rId2"/>
        <a:stretch>
          <a:fillRect/>
        </a:stretch>
      </xdr:blipFill>
      <xdr:spPr>
        <a:xfrm>
          <a:off x="1220470" y="1449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3" name="ID_951FD68B9AF343ADBDA89E3CD33BBC08" descr="骐柒柒科技测评头像"/>
        <xdr:cNvPicPr>
          <a:picLocks noChangeAspect="1"/>
        </xdr:cNvPicPr>
      </xdr:nvPicPr>
      <xdr:blipFill>
        <a:blip r:embed="rId88" r:link="rId2"/>
        <a:stretch>
          <a:fillRect/>
        </a:stretch>
      </xdr:blipFill>
      <xdr:spPr>
        <a:xfrm>
          <a:off x="1220470" y="1348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2" name="ID_761495A2F924407682D5AF1846219854" descr="老贺的科技头像"/>
        <xdr:cNvPicPr>
          <a:picLocks noChangeAspect="1"/>
        </xdr:cNvPicPr>
      </xdr:nvPicPr>
      <xdr:blipFill>
        <a:blip r:embed="rId89" r:link="rId2"/>
        <a:stretch>
          <a:fillRect/>
        </a:stretch>
      </xdr:blipFill>
      <xdr:spPr>
        <a:xfrm>
          <a:off x="1220470" y="12973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0" name="ID_AA2D2A5BCE8645FFB273E13C73B42B7C" descr="Bigger研究所头像"/>
        <xdr:cNvPicPr>
          <a:picLocks noChangeAspect="1"/>
        </xdr:cNvPicPr>
      </xdr:nvPicPr>
      <xdr:blipFill>
        <a:blip r:embed="rId90" r:link="rId2"/>
        <a:stretch>
          <a:fillRect/>
        </a:stretch>
      </xdr:blipFill>
      <xdr:spPr>
        <a:xfrm>
          <a:off x="1220470" y="1195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9" name="ID_1B3B087BDDEB46D0B42DC1E122EFFB85" descr="青山坤头像"/>
        <xdr:cNvPicPr>
          <a:picLocks noChangeAspect="1"/>
        </xdr:cNvPicPr>
      </xdr:nvPicPr>
      <xdr:blipFill>
        <a:blip r:embed="rId91" r:link="rId2"/>
        <a:stretch>
          <a:fillRect/>
        </a:stretch>
      </xdr:blipFill>
      <xdr:spPr>
        <a:xfrm>
          <a:off x="1220470" y="11449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8" name="ID_9E9EC13F78C54133AB32AE14184AA937" descr="丝丝滴DIETGRRRL头像"/>
        <xdr:cNvPicPr>
          <a:picLocks noChangeAspect="1"/>
        </xdr:cNvPicPr>
      </xdr:nvPicPr>
      <xdr:blipFill>
        <a:blip r:embed="rId92" r:link="rId2"/>
        <a:stretch>
          <a:fillRect/>
        </a:stretch>
      </xdr:blipFill>
      <xdr:spPr>
        <a:xfrm>
          <a:off x="1220470" y="1094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7" name="ID_CE7BCC6A91624D2CB1729F2763EA041C" descr="-谢安然-头像"/>
        <xdr:cNvPicPr>
          <a:picLocks noChangeAspect="1"/>
        </xdr:cNvPicPr>
      </xdr:nvPicPr>
      <xdr:blipFill>
        <a:blip r:embed="rId93" r:link="rId2"/>
        <a:stretch>
          <a:fillRect/>
        </a:stretch>
      </xdr:blipFill>
      <xdr:spPr>
        <a:xfrm>
          <a:off x="1220470" y="10433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6" name="ID_042A9AA6863D4347BF071C0505BB7101" descr="阿日头像"/>
        <xdr:cNvPicPr>
          <a:picLocks noChangeAspect="1"/>
        </xdr:cNvPicPr>
      </xdr:nvPicPr>
      <xdr:blipFill>
        <a:blip r:embed="rId94" r:link="rId2"/>
        <a:stretch>
          <a:fillRect/>
        </a:stretch>
      </xdr:blipFill>
      <xdr:spPr>
        <a:xfrm>
          <a:off x="1220470" y="9925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5" name="ID_0B01EE3AE8F24C9EA8ABA8274A248C0D" descr="达莎Digi头像"/>
        <xdr:cNvPicPr>
          <a:picLocks noChangeAspect="1"/>
        </xdr:cNvPicPr>
      </xdr:nvPicPr>
      <xdr:blipFill>
        <a:blip r:embed="rId95" r:link="rId2"/>
        <a:stretch>
          <a:fillRect/>
        </a:stretch>
      </xdr:blipFill>
      <xdr:spPr>
        <a:xfrm>
          <a:off x="1220470" y="941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3" name="ID_730B0317D023468F91CFCE89195B0DCA" descr="馃挀蹇樺唇澶澶村儚"/>
        <xdr:cNvPicPr>
          <a:picLocks noChangeAspect="1"/>
        </xdr:cNvPicPr>
      </xdr:nvPicPr>
      <xdr:blipFill>
        <a:blip r:embed="rId96" r:link="rId2"/>
        <a:stretch>
          <a:fillRect/>
        </a:stretch>
      </xdr:blipFill>
      <xdr:spPr>
        <a:xfrm>
          <a:off x="1220470" y="840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2" name="ID_EFD4636F92FA47B094206FC19E23EC7A" descr="这货不是洋少琪头像"/>
        <xdr:cNvPicPr>
          <a:picLocks noChangeAspect="1"/>
        </xdr:cNvPicPr>
      </xdr:nvPicPr>
      <xdr:blipFill>
        <a:blip r:embed="rId97" r:link="rId2"/>
        <a:stretch>
          <a:fillRect/>
        </a:stretch>
      </xdr:blipFill>
      <xdr:spPr>
        <a:xfrm>
          <a:off x="1220470" y="7893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1" name="ID_814BC76440B1456F839F54E2CD83E197" descr="阿鸡头像"/>
        <xdr:cNvPicPr>
          <a:picLocks noChangeAspect="1"/>
        </xdr:cNvPicPr>
      </xdr:nvPicPr>
      <xdr:blipFill>
        <a:blip r:embed="rId98" r:link="rId2"/>
        <a:stretch>
          <a:fillRect/>
        </a:stretch>
      </xdr:blipFill>
      <xdr:spPr>
        <a:xfrm>
          <a:off x="1220470" y="7385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0" name="ID_0CBF9193802644CAB0966EFF5519F696" descr="天巍霸霸头像"/>
        <xdr:cNvPicPr>
          <a:picLocks noChangeAspect="1"/>
        </xdr:cNvPicPr>
      </xdr:nvPicPr>
      <xdr:blipFill>
        <a:blip r:embed="rId99" r:link="rId2"/>
        <a:stretch>
          <a:fillRect/>
        </a:stretch>
      </xdr:blipFill>
      <xdr:spPr>
        <a:xfrm>
          <a:off x="1220470" y="687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9" name="ID_AFE0873BF9B74487A9F8728995BDF9E6" descr="小三金头像"/>
        <xdr:cNvPicPr>
          <a:picLocks noChangeAspect="1"/>
        </xdr:cNvPicPr>
      </xdr:nvPicPr>
      <xdr:blipFill>
        <a:blip r:embed="rId100" r:link="rId2"/>
        <a:stretch>
          <a:fillRect/>
        </a:stretch>
      </xdr:blipFill>
      <xdr:spPr>
        <a:xfrm>
          <a:off x="1220470" y="6369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8" name="ID_0BB29904F01945A098FA5B13AF9C6B23"/>
        <xdr:cNvPicPr>
          <a:picLocks noChangeAspect="1"/>
        </xdr:cNvPicPr>
      </xdr:nvPicPr>
      <xdr:blipFill>
        <a:blip r:embed="rId101" r:link="rId2"/>
        <a:stretch>
          <a:fillRect/>
        </a:stretch>
      </xdr:blipFill>
      <xdr:spPr>
        <a:xfrm>
          <a:off x="1220470" y="586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9" name="ID_B834CA9A2438445EADFD937FC78AAE9F" descr="康康和爷爷头像"/>
        <xdr:cNvPicPr>
          <a:picLocks noChangeAspect="1"/>
        </xdr:cNvPicPr>
      </xdr:nvPicPr>
      <xdr:blipFill>
        <a:blip r:embed="rId102" r:link="rId2"/>
        <a:stretch>
          <a:fillRect/>
        </a:stretch>
      </xdr:blipFill>
      <xdr:spPr>
        <a:xfrm>
          <a:off x="1220470" y="1289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0" name="ID_A592B5B46E5A4341A937717FE87C8E02" descr="刀小刀sama头像"/>
        <xdr:cNvPicPr>
          <a:picLocks noChangeAspect="1"/>
        </xdr:cNvPicPr>
      </xdr:nvPicPr>
      <xdr:blipFill>
        <a:blip r:embed="rId103" r:link="rId2"/>
        <a:stretch>
          <a:fillRect/>
        </a:stretch>
      </xdr:blipFill>
      <xdr:spPr>
        <a:xfrm>
          <a:off x="1220470" y="179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1" name="ID_AD37E208650B4CCEB253B1CCAB9E04EA" descr="三喜爷爷头像"/>
        <xdr:cNvPicPr>
          <a:picLocks noChangeAspect="1"/>
        </xdr:cNvPicPr>
      </xdr:nvPicPr>
      <xdr:blipFill>
        <a:blip r:embed="rId104" r:link="rId2"/>
        <a:stretch>
          <a:fillRect/>
        </a:stretch>
      </xdr:blipFill>
      <xdr:spPr>
        <a:xfrm>
          <a:off x="1220470" y="2305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3" name="ID_B63F0D4E47FD4237923B412788D91114" descr="徐三柒头像"/>
        <xdr:cNvPicPr>
          <a:picLocks noChangeAspect="1"/>
        </xdr:cNvPicPr>
      </xdr:nvPicPr>
      <xdr:blipFill>
        <a:blip r:embed="rId105" r:link="rId2"/>
        <a:stretch>
          <a:fillRect/>
        </a:stretch>
      </xdr:blipFill>
      <xdr:spPr>
        <a:xfrm>
          <a:off x="1220470" y="332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4" name="ID_09555191A04C47CE80C8671C51A1789E" descr="废柴一点头像"/>
        <xdr:cNvPicPr>
          <a:picLocks noChangeAspect="1"/>
        </xdr:cNvPicPr>
      </xdr:nvPicPr>
      <xdr:blipFill>
        <a:blip r:embed="rId106" r:link="rId2"/>
        <a:stretch>
          <a:fillRect/>
        </a:stretch>
      </xdr:blipFill>
      <xdr:spPr>
        <a:xfrm>
          <a:off x="1220470" y="3829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6" name="ID_0BFE4C35106346258B08A377C582C11E" descr="起错名的四毛头像"/>
        <xdr:cNvPicPr>
          <a:picLocks noChangeAspect="1"/>
        </xdr:cNvPicPr>
      </xdr:nvPicPr>
      <xdr:blipFill>
        <a:blip r:embed="rId107" r:link="rId2"/>
        <a:stretch>
          <a:fillRect/>
        </a:stretch>
      </xdr:blipFill>
      <xdr:spPr>
        <a:xfrm>
          <a:off x="1220470" y="4845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0" name="ID_401706D6110241AF85A23925E986506A"/>
        <xdr:cNvPicPr>
          <a:picLocks noChangeAspect="1"/>
        </xdr:cNvPicPr>
      </xdr:nvPicPr>
      <xdr:blipFill>
        <a:blip r:embed="rId108" r:link="rId2"/>
        <a:stretch>
          <a:fillRect/>
        </a:stretch>
      </xdr:blipFill>
      <xdr:spPr>
        <a:xfrm>
          <a:off x="1428750" y="2863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8" name="ID_5A891D8FCD964649A8E4EEEAD62562F8"/>
        <xdr:cNvPicPr>
          <a:picLocks noChangeAspect="1"/>
        </xdr:cNvPicPr>
      </xdr:nvPicPr>
      <xdr:blipFill>
        <a:blip r:embed="rId109" r:link="rId2"/>
        <a:stretch>
          <a:fillRect/>
        </a:stretch>
      </xdr:blipFill>
      <xdr:spPr>
        <a:xfrm>
          <a:off x="1428750" y="28124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8" name="ID_5E08D9A73757491D80EC53CF0B8532CB"/>
        <xdr:cNvPicPr>
          <a:picLocks noChangeAspect="1"/>
        </xdr:cNvPicPr>
      </xdr:nvPicPr>
      <xdr:blipFill>
        <a:blip r:embed="rId110" r:link="rId2"/>
        <a:stretch>
          <a:fillRect/>
        </a:stretch>
      </xdr:blipFill>
      <xdr:spPr>
        <a:xfrm>
          <a:off x="1428750" y="27298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9" name="ID_3E72A807193F48B38BC17C31E79BEC19"/>
        <xdr:cNvPicPr>
          <a:picLocks noChangeAspect="1"/>
        </xdr:cNvPicPr>
      </xdr:nvPicPr>
      <xdr:blipFill>
        <a:blip r:embed="rId111" r:link="rId2"/>
        <a:stretch>
          <a:fillRect/>
        </a:stretch>
      </xdr:blipFill>
      <xdr:spPr>
        <a:xfrm>
          <a:off x="1428750" y="26790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2" name="ID_F652C207402A4EFB961D0799CB123FE5"/>
        <xdr:cNvPicPr>
          <a:picLocks noChangeAspect="1"/>
        </xdr:cNvPicPr>
      </xdr:nvPicPr>
      <xdr:blipFill>
        <a:blip r:embed="rId112" r:link="rId2"/>
        <a:stretch>
          <a:fillRect/>
        </a:stretch>
      </xdr:blipFill>
      <xdr:spPr>
        <a:xfrm>
          <a:off x="1428750" y="26282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1" name="ID_AAD41A3608BA499BB3B2FD1402694A71"/>
        <xdr:cNvPicPr>
          <a:picLocks noChangeAspect="1"/>
        </xdr:cNvPicPr>
      </xdr:nvPicPr>
      <xdr:blipFill>
        <a:blip r:embed="rId113" r:link="rId2"/>
        <a:stretch>
          <a:fillRect/>
        </a:stretch>
      </xdr:blipFill>
      <xdr:spPr>
        <a:xfrm>
          <a:off x="1428750" y="25774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0" name="ID_82BAEAD4A8B04B6A86EA0B945ACFB8ED"/>
        <xdr:cNvPicPr>
          <a:picLocks noChangeAspect="1"/>
        </xdr:cNvPicPr>
      </xdr:nvPicPr>
      <xdr:blipFill>
        <a:blip r:embed="rId114" r:link="rId2"/>
        <a:stretch>
          <a:fillRect/>
        </a:stretch>
      </xdr:blipFill>
      <xdr:spPr>
        <a:xfrm>
          <a:off x="1428750" y="25266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3" name="ID_D5FE48C52ECF440FAB04549CFE2A1CE4"/>
        <xdr:cNvPicPr>
          <a:picLocks noChangeAspect="1"/>
        </xdr:cNvPicPr>
      </xdr:nvPicPr>
      <xdr:blipFill>
        <a:blip r:embed="rId115" r:link="rId2"/>
        <a:stretch>
          <a:fillRect/>
        </a:stretch>
      </xdr:blipFill>
      <xdr:spPr>
        <a:xfrm>
          <a:off x="1428750" y="24758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7" name="ID_D9CE992367B2406F818344C9598E8010"/>
        <xdr:cNvPicPr>
          <a:picLocks noChangeAspect="1"/>
        </xdr:cNvPicPr>
      </xdr:nvPicPr>
      <xdr:blipFill>
        <a:blip r:embed="rId116" r:link="rId2"/>
        <a:stretch>
          <a:fillRect/>
        </a:stretch>
      </xdr:blipFill>
      <xdr:spPr>
        <a:xfrm>
          <a:off x="1428750" y="23933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3" name="ID_1342947BE7894E3E8205ACD75702691A"/>
        <xdr:cNvPicPr>
          <a:picLocks noChangeAspect="1"/>
        </xdr:cNvPicPr>
      </xdr:nvPicPr>
      <xdr:blipFill>
        <a:blip r:embed="rId117" r:link="rId2"/>
        <a:stretch>
          <a:fillRect/>
        </a:stretch>
      </xdr:blipFill>
      <xdr:spPr>
        <a:xfrm>
          <a:off x="1428750" y="23425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2" name="ID_27EB36AAD13A4521B8B8387330DCAD41"/>
        <xdr:cNvPicPr>
          <a:picLocks noChangeAspect="1"/>
        </xdr:cNvPicPr>
      </xdr:nvPicPr>
      <xdr:blipFill>
        <a:blip r:embed="rId118" r:link="rId2"/>
        <a:stretch>
          <a:fillRect/>
        </a:stretch>
      </xdr:blipFill>
      <xdr:spPr>
        <a:xfrm>
          <a:off x="1428750" y="22599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7" name="ID_69A1947915674D9CB0631F5D4C3CDFDE"/>
        <xdr:cNvPicPr>
          <a:picLocks noChangeAspect="1"/>
        </xdr:cNvPicPr>
      </xdr:nvPicPr>
      <xdr:blipFill>
        <a:blip r:embed="rId119" r:link="rId2"/>
        <a:stretch>
          <a:fillRect/>
        </a:stretch>
      </xdr:blipFill>
      <xdr:spPr>
        <a:xfrm>
          <a:off x="1428750" y="22091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6" name="ID_5D30AC2FB77E462F933F8BAFB9E4736D"/>
        <xdr:cNvPicPr>
          <a:picLocks noChangeAspect="1"/>
        </xdr:cNvPicPr>
      </xdr:nvPicPr>
      <xdr:blipFill>
        <a:blip r:embed="rId120" r:link="rId2"/>
        <a:stretch>
          <a:fillRect/>
        </a:stretch>
      </xdr:blipFill>
      <xdr:spPr>
        <a:xfrm>
          <a:off x="1428750" y="21583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9" name="ID_3DC8C9DC7D2A40A182F096AE2C13FE48"/>
        <xdr:cNvPicPr>
          <a:picLocks noChangeAspect="1"/>
        </xdr:cNvPicPr>
      </xdr:nvPicPr>
      <xdr:blipFill>
        <a:blip r:embed="rId121" r:link="rId2"/>
        <a:stretch>
          <a:fillRect/>
        </a:stretch>
      </xdr:blipFill>
      <xdr:spPr>
        <a:xfrm>
          <a:off x="1428750" y="20567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8" name="ID_CF3E9C04E2EB483DB964FAB1C49DFD49"/>
        <xdr:cNvPicPr>
          <a:picLocks noChangeAspect="1"/>
        </xdr:cNvPicPr>
      </xdr:nvPicPr>
      <xdr:blipFill>
        <a:blip r:embed="rId122" r:link="rId2"/>
        <a:stretch>
          <a:fillRect/>
        </a:stretch>
      </xdr:blipFill>
      <xdr:spPr>
        <a:xfrm>
          <a:off x="1428750" y="20059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7" name="ID_B1795C0DC3FD4663ABD5DF9C682C22A7"/>
        <xdr:cNvPicPr>
          <a:picLocks noChangeAspect="1"/>
        </xdr:cNvPicPr>
      </xdr:nvPicPr>
      <xdr:blipFill>
        <a:blip r:embed="rId123" r:link="rId2"/>
        <a:stretch>
          <a:fillRect/>
        </a:stretch>
      </xdr:blipFill>
      <xdr:spPr>
        <a:xfrm>
          <a:off x="1428750" y="19551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6" name="ID_EBD2631FCAEC4FDD92F0E226BE26ACCF"/>
        <xdr:cNvPicPr>
          <a:picLocks noChangeAspect="1"/>
        </xdr:cNvPicPr>
      </xdr:nvPicPr>
      <xdr:blipFill>
        <a:blip r:embed="rId124" r:link="rId2"/>
        <a:stretch>
          <a:fillRect/>
        </a:stretch>
      </xdr:blipFill>
      <xdr:spPr>
        <a:xfrm>
          <a:off x="1428750" y="19043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7" name="ID_6C0A345DE04347D6A186BB615681C6BE"/>
        <xdr:cNvPicPr>
          <a:picLocks noChangeAspect="1"/>
        </xdr:cNvPicPr>
      </xdr:nvPicPr>
      <xdr:blipFill>
        <a:blip r:embed="rId125" r:link="rId2"/>
        <a:stretch>
          <a:fillRect/>
        </a:stretch>
      </xdr:blipFill>
      <xdr:spPr>
        <a:xfrm>
          <a:off x="1428750" y="18535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1" name="ID_40729C90AA504E43B7F3045BA84F64C8"/>
        <xdr:cNvPicPr>
          <a:picLocks noChangeAspect="1"/>
        </xdr:cNvPicPr>
      </xdr:nvPicPr>
      <xdr:blipFill>
        <a:blip r:embed="rId126" r:link="rId2"/>
        <a:stretch>
          <a:fillRect/>
        </a:stretch>
      </xdr:blipFill>
      <xdr:spPr>
        <a:xfrm>
          <a:off x="1428750" y="18027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7" name="ID_B1B5E1DE96534F36AC8A42A1B3B269DA"/>
        <xdr:cNvPicPr>
          <a:picLocks noChangeAspect="1"/>
        </xdr:cNvPicPr>
      </xdr:nvPicPr>
      <xdr:blipFill>
        <a:blip r:embed="rId127" r:link="rId2"/>
        <a:stretch>
          <a:fillRect/>
        </a:stretch>
      </xdr:blipFill>
      <xdr:spPr>
        <a:xfrm>
          <a:off x="1428750" y="1720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4" name="ID_695B8DFF478E4C1EB8901E8CE595ADEE"/>
        <xdr:cNvPicPr>
          <a:picLocks noChangeAspect="1"/>
        </xdr:cNvPicPr>
      </xdr:nvPicPr>
      <xdr:blipFill>
        <a:blip r:embed="rId128" r:link="rId2"/>
        <a:stretch>
          <a:fillRect/>
        </a:stretch>
      </xdr:blipFill>
      <xdr:spPr>
        <a:xfrm>
          <a:off x="1428750" y="16694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2" name="ID_9340379CCC594621B7F2B67D00B768A5"/>
        <xdr:cNvPicPr>
          <a:picLocks noChangeAspect="1"/>
        </xdr:cNvPicPr>
      </xdr:nvPicPr>
      <xdr:blipFill>
        <a:blip r:embed="rId129" r:link="rId2"/>
        <a:stretch>
          <a:fillRect/>
        </a:stretch>
      </xdr:blipFill>
      <xdr:spPr>
        <a:xfrm>
          <a:off x="1428750" y="16186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4" name="ID_BD7D2AE1FEEA4B539B8A02E17754BB63"/>
        <xdr:cNvPicPr>
          <a:picLocks noChangeAspect="1"/>
        </xdr:cNvPicPr>
      </xdr:nvPicPr>
      <xdr:blipFill>
        <a:blip r:embed="rId130" r:link="rId2"/>
        <a:stretch>
          <a:fillRect/>
        </a:stretch>
      </xdr:blipFill>
      <xdr:spPr>
        <a:xfrm>
          <a:off x="1428750" y="15678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6" name="ID_8800038899AD4ADFA16C59953E0E4EFB"/>
        <xdr:cNvPicPr>
          <a:picLocks noChangeAspect="1"/>
        </xdr:cNvPicPr>
      </xdr:nvPicPr>
      <xdr:blipFill>
        <a:blip r:embed="rId131" r:link="rId2"/>
        <a:stretch>
          <a:fillRect/>
        </a:stretch>
      </xdr:blipFill>
      <xdr:spPr>
        <a:xfrm>
          <a:off x="1428750" y="1466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2" name="ID_8A9A6E4E695243EDB4DB28677AC37E76"/>
        <xdr:cNvPicPr>
          <a:picLocks noChangeAspect="1"/>
        </xdr:cNvPicPr>
      </xdr:nvPicPr>
      <xdr:blipFill>
        <a:blip r:embed="rId132" r:link="rId2"/>
        <a:stretch>
          <a:fillRect/>
        </a:stretch>
      </xdr:blipFill>
      <xdr:spPr>
        <a:xfrm>
          <a:off x="1428750" y="14154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1" name="ID_529CDB38514E4ECF9C884415EDEEBDA4"/>
        <xdr:cNvPicPr>
          <a:picLocks noChangeAspect="1"/>
        </xdr:cNvPicPr>
      </xdr:nvPicPr>
      <xdr:blipFill>
        <a:blip r:embed="rId133" r:link="rId2"/>
        <a:stretch>
          <a:fillRect/>
        </a:stretch>
      </xdr:blipFill>
      <xdr:spPr>
        <a:xfrm>
          <a:off x="1428750" y="13646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0" name="ID_C1A2D0C838BA4894A1BB80F9BC752C1C"/>
        <xdr:cNvPicPr>
          <a:picLocks noChangeAspect="1"/>
        </xdr:cNvPicPr>
      </xdr:nvPicPr>
      <xdr:blipFill>
        <a:blip r:embed="rId134" r:link="rId2"/>
        <a:stretch>
          <a:fillRect/>
        </a:stretch>
      </xdr:blipFill>
      <xdr:spPr>
        <a:xfrm>
          <a:off x="1428750" y="13138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8" name="ID_84004700788346389F1F6AFA69A290F1"/>
        <xdr:cNvPicPr>
          <a:picLocks noChangeAspect="1"/>
        </xdr:cNvPicPr>
      </xdr:nvPicPr>
      <xdr:blipFill>
        <a:blip r:embed="rId135" r:link="rId2"/>
        <a:stretch>
          <a:fillRect/>
        </a:stretch>
      </xdr:blipFill>
      <xdr:spPr>
        <a:xfrm>
          <a:off x="1428750" y="12630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9" name="ID_45364279DDF94FE1A6F8998A67BC42D7"/>
        <xdr:cNvPicPr>
          <a:picLocks noChangeAspect="1"/>
        </xdr:cNvPicPr>
      </xdr:nvPicPr>
      <xdr:blipFill>
        <a:blip r:embed="rId136" r:link="rId2"/>
        <a:stretch>
          <a:fillRect/>
        </a:stretch>
      </xdr:blipFill>
      <xdr:spPr>
        <a:xfrm>
          <a:off x="1428750" y="1212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6" name="ID_C6E0F729476145B1B33570844F7AEF28"/>
        <xdr:cNvPicPr>
          <a:picLocks noChangeAspect="1"/>
        </xdr:cNvPicPr>
      </xdr:nvPicPr>
      <xdr:blipFill>
        <a:blip r:embed="rId137" r:link="rId2"/>
        <a:stretch>
          <a:fillRect/>
        </a:stretch>
      </xdr:blipFill>
      <xdr:spPr>
        <a:xfrm>
          <a:off x="1428750" y="11614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5" name="ID_FA8F7ABC3FD04308948A3D7BFA18D1AC"/>
        <xdr:cNvPicPr>
          <a:picLocks noChangeAspect="1"/>
        </xdr:cNvPicPr>
      </xdr:nvPicPr>
      <xdr:blipFill>
        <a:blip r:embed="rId138" r:link="rId2"/>
        <a:stretch>
          <a:fillRect/>
        </a:stretch>
      </xdr:blipFill>
      <xdr:spPr>
        <a:xfrm>
          <a:off x="1428750" y="11106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0" name="ID_28AF013E9BC74A9BB281DFE6F191EB91"/>
        <xdr:cNvPicPr>
          <a:picLocks noChangeAspect="1"/>
        </xdr:cNvPicPr>
      </xdr:nvPicPr>
      <xdr:blipFill>
        <a:blip r:embed="rId139" r:link="rId2"/>
        <a:stretch>
          <a:fillRect/>
        </a:stretch>
      </xdr:blipFill>
      <xdr:spPr>
        <a:xfrm>
          <a:off x="1428750" y="10598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9" name="ID_1F6039D1EC9A4ED1B5C8363E408EB7BE"/>
        <xdr:cNvPicPr>
          <a:picLocks noChangeAspect="1"/>
        </xdr:cNvPicPr>
      </xdr:nvPicPr>
      <xdr:blipFill>
        <a:blip r:embed="rId140" r:link="rId2"/>
        <a:stretch>
          <a:fillRect/>
        </a:stretch>
      </xdr:blipFill>
      <xdr:spPr>
        <a:xfrm>
          <a:off x="1428750" y="10090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3" name="ID_326352DD3DBE49E79F67823EC5634466"/>
        <xdr:cNvPicPr>
          <a:picLocks noChangeAspect="1"/>
        </xdr:cNvPicPr>
      </xdr:nvPicPr>
      <xdr:blipFill>
        <a:blip r:embed="rId141" r:link="rId2"/>
        <a:stretch>
          <a:fillRect/>
        </a:stretch>
      </xdr:blipFill>
      <xdr:spPr>
        <a:xfrm>
          <a:off x="1428750" y="9074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8" name="ID_1D9773756B9F4E2497E24C113846755A"/>
        <xdr:cNvPicPr>
          <a:picLocks noChangeAspect="1"/>
        </xdr:cNvPicPr>
      </xdr:nvPicPr>
      <xdr:blipFill>
        <a:blip r:embed="rId142" r:link="rId2"/>
        <a:stretch>
          <a:fillRect/>
        </a:stretch>
      </xdr:blipFill>
      <xdr:spPr>
        <a:xfrm>
          <a:off x="1428750" y="8566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6" name="ID_BDFF3AF9C2294AA489B20ABC23BFEC80"/>
        <xdr:cNvPicPr>
          <a:picLocks noChangeAspect="1"/>
        </xdr:cNvPicPr>
      </xdr:nvPicPr>
      <xdr:blipFill>
        <a:blip r:embed="rId143" r:link="rId2"/>
        <a:stretch>
          <a:fillRect/>
        </a:stretch>
      </xdr:blipFill>
      <xdr:spPr>
        <a:xfrm>
          <a:off x="1428750" y="8058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4" name="ID_612B44CB1D6848CBB0234577403521E6"/>
        <xdr:cNvPicPr>
          <a:picLocks noChangeAspect="1"/>
        </xdr:cNvPicPr>
      </xdr:nvPicPr>
      <xdr:blipFill>
        <a:blip r:embed="rId144" r:link="rId2"/>
        <a:stretch>
          <a:fillRect/>
        </a:stretch>
      </xdr:blipFill>
      <xdr:spPr>
        <a:xfrm>
          <a:off x="1428750" y="704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3" name="ID_59B5D26571394E658286ACEEB32111CE"/>
        <xdr:cNvPicPr>
          <a:picLocks noChangeAspect="1"/>
        </xdr:cNvPicPr>
      </xdr:nvPicPr>
      <xdr:blipFill>
        <a:blip r:embed="rId145" r:link="rId2"/>
        <a:stretch>
          <a:fillRect/>
        </a:stretch>
      </xdr:blipFill>
      <xdr:spPr>
        <a:xfrm>
          <a:off x="1428750" y="5708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2" name="ID_8E5686E21EAD4130843B24F51BF31F21"/>
        <xdr:cNvPicPr>
          <a:picLocks noChangeAspect="1"/>
        </xdr:cNvPicPr>
      </xdr:nvPicPr>
      <xdr:blipFill>
        <a:blip r:embed="rId146" r:link="rId2"/>
        <a:stretch>
          <a:fillRect/>
        </a:stretch>
      </xdr:blipFill>
      <xdr:spPr>
        <a:xfrm>
          <a:off x="1428750" y="5200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5" name="ID_86D753D5DE2B472CAA26ACB3512EADAF"/>
        <xdr:cNvPicPr>
          <a:picLocks noChangeAspect="1"/>
        </xdr:cNvPicPr>
      </xdr:nvPicPr>
      <xdr:blipFill>
        <a:blip r:embed="rId147" r:link="rId2"/>
        <a:stretch>
          <a:fillRect/>
        </a:stretch>
      </xdr:blipFill>
      <xdr:spPr>
        <a:xfrm>
          <a:off x="1428750" y="4692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9" name="ID_4A55488DBDAD49579EB233663CB69660"/>
        <xdr:cNvPicPr>
          <a:picLocks noChangeAspect="1"/>
        </xdr:cNvPicPr>
      </xdr:nvPicPr>
      <xdr:blipFill>
        <a:blip r:embed="rId148" r:link="rId2"/>
        <a:stretch>
          <a:fillRect/>
        </a:stretch>
      </xdr:blipFill>
      <xdr:spPr>
        <a:xfrm>
          <a:off x="1428750" y="4184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1" name="ID_ACADAAE5A5B745829E1DB0F922D8698E"/>
        <xdr:cNvPicPr>
          <a:picLocks noChangeAspect="1"/>
        </xdr:cNvPicPr>
      </xdr:nvPicPr>
      <xdr:blipFill>
        <a:blip r:embed="rId149" r:link="rId2"/>
        <a:stretch>
          <a:fillRect/>
        </a:stretch>
      </xdr:blipFill>
      <xdr:spPr>
        <a:xfrm>
          <a:off x="1428750" y="3676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7" name="ID_2D5765BFE8F6423B87A32A48EFC80740"/>
        <xdr:cNvPicPr>
          <a:picLocks noChangeAspect="1"/>
        </xdr:cNvPicPr>
      </xdr:nvPicPr>
      <xdr:blipFill>
        <a:blip r:embed="rId150" r:link="rId2"/>
        <a:stretch>
          <a:fillRect/>
        </a:stretch>
      </xdr:blipFill>
      <xdr:spPr>
        <a:xfrm>
          <a:off x="1428750" y="3168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02" name="ID_30AC8A19BCA44ACEB2336397680E6576"/>
        <xdr:cNvPicPr>
          <a:picLocks noChangeAspect="1"/>
        </xdr:cNvPicPr>
      </xdr:nvPicPr>
      <xdr:blipFill>
        <a:blip r:embed="rId151" r:link="rId2"/>
        <a:stretch>
          <a:fillRect/>
        </a:stretch>
      </xdr:blipFill>
      <xdr:spPr>
        <a:xfrm>
          <a:off x="1428750" y="7550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8" name="ID_E93E6167F61E4599964B5E79CD7734C2" descr="白老师就是白老师头像"/>
        <xdr:cNvPicPr>
          <a:picLocks noChangeAspect="1"/>
        </xdr:cNvPicPr>
      </xdr:nvPicPr>
      <xdr:blipFill>
        <a:blip r:embed="rId58" r:link="rId2"/>
        <a:stretch>
          <a:fillRect/>
        </a:stretch>
      </xdr:blipFill>
      <xdr:spPr>
        <a:xfrm>
          <a:off x="1323975" y="3729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9" name="ID_FA9FF34377084D008B1E566C0AFB056C" descr="夏77🟡头像"/>
        <xdr:cNvPicPr>
          <a:picLocks noChangeAspect="1"/>
        </xdr:cNvPicPr>
      </xdr:nvPicPr>
      <xdr:blipFill>
        <a:blip r:embed="rId152" r:link="rId2"/>
        <a:stretch>
          <a:fillRect/>
        </a:stretch>
      </xdr:blipFill>
      <xdr:spPr>
        <a:xfrm>
          <a:off x="1323975" y="3221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0" name="ID_AAD39A6E8CE0488386F06F9435D649BA" descr="周三拾头像"/>
        <xdr:cNvPicPr>
          <a:picLocks noChangeAspect="1"/>
        </xdr:cNvPicPr>
      </xdr:nvPicPr>
      <xdr:blipFill>
        <a:blip r:embed="rId51" r:link="rId2"/>
        <a:stretch>
          <a:fillRect/>
        </a:stretch>
      </xdr:blipFill>
      <xdr:spPr>
        <a:xfrm>
          <a:off x="1323975" y="2713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5" name="ID_99668B7599544B11ACEEA3FF1EB72326" descr="222222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1323975" y="1697355"/>
          <a:ext cx="476250" cy="476250"/>
        </a:xfrm>
        <a:prstGeom prst="ellipse">
          <a:avLst/>
        </a:prstGeom>
      </xdr:spPr>
    </xdr:pic>
  </etc:cellImage>
  <etc:cellImage>
    <xdr:pic>
      <xdr:nvPicPr>
        <xdr:cNvPr id="324" name="ID_B80174DB818F42F89E0B16F62B09933C"/>
        <xdr:cNvPicPr>
          <a:picLocks noChangeAspect="1"/>
        </xdr:cNvPicPr>
      </xdr:nvPicPr>
      <xdr:blipFill>
        <a:blip r:embed="rId154" r:link="rId2"/>
        <a:stretch>
          <a:fillRect/>
        </a:stretch>
      </xdr:blipFill>
      <xdr:spPr>
        <a:xfrm>
          <a:off x="1323975" y="1189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6" name="ID_66734896A6CE47A2BD8361F520FC4D67"/>
        <xdr:cNvPicPr>
          <a:picLocks noChangeAspect="1"/>
        </xdr:cNvPicPr>
      </xdr:nvPicPr>
      <xdr:blipFill>
        <a:blip r:embed="rId155" r:link="rId2"/>
        <a:stretch>
          <a:fillRect/>
        </a:stretch>
      </xdr:blipFill>
      <xdr:spPr>
        <a:xfrm>
          <a:off x="1323975" y="2205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3" name="ID_E1DBFCF244A64834AF86EE586C001098"/>
        <xdr:cNvPicPr>
          <a:picLocks noChangeAspect="1"/>
        </xdr:cNvPicPr>
      </xdr:nvPicPr>
      <xdr:blipFill>
        <a:blip r:embed="rId156"/>
        <a:stretch>
          <a:fillRect/>
        </a:stretch>
      </xdr:blipFill>
      <xdr:spPr>
        <a:xfrm>
          <a:off x="1323975" y="13889355"/>
          <a:ext cx="47561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22" name="ID_626A900E97CD4D76BD090642741F6160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1323340" y="13381355"/>
          <a:ext cx="47688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21" name="ID_8232BAB64D134CF2946D33DAA1528AC0"/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1323975" y="12873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20" name="ID_A290CB62DF864653937157D52A36932D"/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>
          <a:off x="1323975" y="1236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9" name="ID_F845F0F5143C4371838AA6AAD6CD942F"/>
        <xdr:cNvPicPr>
          <a:picLocks noChangeAspect="1"/>
        </xdr:cNvPicPr>
      </xdr:nvPicPr>
      <xdr:blipFill>
        <a:blip r:embed="rId160"/>
        <a:stretch>
          <a:fillRect/>
        </a:stretch>
      </xdr:blipFill>
      <xdr:spPr>
        <a:xfrm>
          <a:off x="1323975" y="11857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8" name="ID_DA11735B583344F4A82F2C67BAA8654D"/>
        <xdr:cNvPicPr>
          <a:picLocks noChangeAspect="1"/>
        </xdr:cNvPicPr>
      </xdr:nvPicPr>
      <xdr:blipFill>
        <a:blip r:embed="rId161"/>
        <a:stretch>
          <a:fillRect/>
        </a:stretch>
      </xdr:blipFill>
      <xdr:spPr>
        <a:xfrm>
          <a:off x="1323975" y="11349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7" name="ID_2484A8D868EC425E8939737377034235"/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1324610" y="10841355"/>
          <a:ext cx="47498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6" name="ID_F5EA9D11E33840EFBE3B8CBD3192C044"/>
        <xdr:cNvPicPr>
          <a:picLocks noChangeAspect="1"/>
        </xdr:cNvPicPr>
      </xdr:nvPicPr>
      <xdr:blipFill>
        <a:blip r:embed="rId163"/>
        <a:stretch>
          <a:fillRect/>
        </a:stretch>
      </xdr:blipFill>
      <xdr:spPr>
        <a:xfrm>
          <a:off x="1323975" y="10333355"/>
          <a:ext cx="47561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5" name="ID_15DF3A6DBEC148C686645E22E40F4E4C"/>
        <xdr:cNvPicPr>
          <a:picLocks noChangeAspect="1"/>
        </xdr:cNvPicPr>
      </xdr:nvPicPr>
      <xdr:blipFill>
        <a:blip r:embed="rId164"/>
        <a:stretch>
          <a:fillRect/>
        </a:stretch>
      </xdr:blipFill>
      <xdr:spPr>
        <a:xfrm>
          <a:off x="1323975" y="982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4" name="ID_7A6739567D2D411AA24E294D9550D895"/>
        <xdr:cNvPicPr>
          <a:picLocks noChangeAspect="1"/>
        </xdr:cNvPicPr>
      </xdr:nvPicPr>
      <xdr:blipFill>
        <a:blip r:embed="rId165"/>
        <a:stretch>
          <a:fillRect/>
        </a:stretch>
      </xdr:blipFill>
      <xdr:spPr>
        <a:xfrm>
          <a:off x="1323975" y="9317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3" name="ID_DAEAD40171974277989C87D4F39C2C7E"/>
        <xdr:cNvPicPr>
          <a:picLocks noChangeAspect="1"/>
        </xdr:cNvPicPr>
      </xdr:nvPicPr>
      <xdr:blipFill>
        <a:blip r:embed="rId166"/>
        <a:stretch>
          <a:fillRect/>
        </a:stretch>
      </xdr:blipFill>
      <xdr:spPr>
        <a:xfrm>
          <a:off x="1323975" y="8809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2" name="ID_FB1725C3E8784889B3C65B0A2BFFCEF2"/>
        <xdr:cNvPicPr>
          <a:picLocks noChangeAspect="1"/>
        </xdr:cNvPicPr>
      </xdr:nvPicPr>
      <xdr:blipFill>
        <a:blip r:embed="rId167"/>
        <a:stretch>
          <a:fillRect/>
        </a:stretch>
      </xdr:blipFill>
      <xdr:spPr>
        <a:xfrm>
          <a:off x="1323975" y="8301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1" name="ID_AB5AFD618FEC46069DA7684CE61AD256"/>
        <xdr:cNvPicPr>
          <a:picLocks noChangeAspect="1"/>
        </xdr:cNvPicPr>
      </xdr:nvPicPr>
      <xdr:blipFill>
        <a:blip r:embed="rId168"/>
        <a:stretch>
          <a:fillRect/>
        </a:stretch>
      </xdr:blipFill>
      <xdr:spPr>
        <a:xfrm>
          <a:off x="1323975" y="7793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0" name="ID_C0369C1D442B4E6DBE6E0A428034CC10"/>
        <xdr:cNvPicPr>
          <a:picLocks noChangeAspect="1"/>
        </xdr:cNvPicPr>
      </xdr:nvPicPr>
      <xdr:blipFill>
        <a:blip r:embed="rId169"/>
        <a:stretch>
          <a:fillRect/>
        </a:stretch>
      </xdr:blipFill>
      <xdr:spPr>
        <a:xfrm>
          <a:off x="1323975" y="728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9" name="ID_A01A56B69EC04AEAA2EB34AE6E1AFE2E"/>
        <xdr:cNvPicPr>
          <a:picLocks noChangeAspect="1"/>
        </xdr:cNvPicPr>
      </xdr:nvPicPr>
      <xdr:blipFill>
        <a:blip r:embed="rId170"/>
        <a:stretch>
          <a:fillRect/>
        </a:stretch>
      </xdr:blipFill>
      <xdr:spPr>
        <a:xfrm>
          <a:off x="1323975" y="6777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7" name="ID_51D64287C69C4E72B4DC568CA5C0A8DB"/>
        <xdr:cNvPicPr>
          <a:picLocks noChangeAspect="1"/>
        </xdr:cNvPicPr>
      </xdr:nvPicPr>
      <xdr:blipFill>
        <a:blip r:embed="rId171"/>
        <a:stretch>
          <a:fillRect/>
        </a:stretch>
      </xdr:blipFill>
      <xdr:spPr>
        <a:xfrm>
          <a:off x="1323975" y="5761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6" name="ID_96C9A41FE3F94ADC8CC27D709951F53C"/>
        <xdr:cNvPicPr>
          <a:picLocks noChangeAspect="1"/>
        </xdr:cNvPicPr>
      </xdr:nvPicPr>
      <xdr:blipFill>
        <a:blip r:embed="rId172"/>
        <a:stretch>
          <a:fillRect/>
        </a:stretch>
      </xdr:blipFill>
      <xdr:spPr>
        <a:xfrm>
          <a:off x="1323975" y="5253355"/>
          <a:ext cx="47561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4" name="ID_A962B447B9374ACDB54DA6072F69A698"/>
        <xdr:cNvPicPr>
          <a:picLocks noChangeAspect="1"/>
        </xdr:cNvPicPr>
      </xdr:nvPicPr>
      <xdr:blipFill>
        <a:blip r:embed="rId173"/>
        <a:stretch>
          <a:fillRect/>
        </a:stretch>
      </xdr:blipFill>
      <xdr:spPr>
        <a:xfrm>
          <a:off x="1323975" y="4237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98" name="ID_22FABF50CE8D4FE4A2A41D38745F4816"/>
        <xdr:cNvPicPr>
          <a:picLocks noChangeAspect="1"/>
        </xdr:cNvPicPr>
      </xdr:nvPicPr>
      <xdr:blipFill>
        <a:blip r:embed="rId174"/>
        <a:stretch>
          <a:fillRect/>
        </a:stretch>
      </xdr:blipFill>
      <xdr:spPr>
        <a:xfrm>
          <a:off x="1323975" y="1189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99" name="ID_0526E155DF574DB6A9004725CE255338"/>
        <xdr:cNvPicPr>
          <a:picLocks noChangeAspect="1"/>
        </xdr:cNvPicPr>
      </xdr:nvPicPr>
      <xdr:blipFill>
        <a:blip r:embed="rId175"/>
        <a:stretch>
          <a:fillRect/>
        </a:stretch>
      </xdr:blipFill>
      <xdr:spPr>
        <a:xfrm>
          <a:off x="1323975" y="1697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0" name="ID_AAAD5394AEDE4534B3B6770F136166B8"/>
        <xdr:cNvPicPr>
          <a:picLocks noChangeAspect="1"/>
        </xdr:cNvPicPr>
      </xdr:nvPicPr>
      <xdr:blipFill>
        <a:blip r:embed="rId176"/>
        <a:stretch>
          <a:fillRect/>
        </a:stretch>
      </xdr:blipFill>
      <xdr:spPr>
        <a:xfrm>
          <a:off x="1323975" y="220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1" name="ID_DE7F0F130B1240EDB27E385A5E6BF622"/>
        <xdr:cNvPicPr>
          <a:picLocks noChangeAspect="1"/>
        </xdr:cNvPicPr>
      </xdr:nvPicPr>
      <xdr:blipFill>
        <a:blip r:embed="rId177"/>
        <a:stretch>
          <a:fillRect/>
        </a:stretch>
      </xdr:blipFill>
      <xdr:spPr>
        <a:xfrm>
          <a:off x="1323975" y="2713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2" name="ID_E5744359F8904C5A8E437F348DF11B4C"/>
        <xdr:cNvPicPr>
          <a:picLocks noChangeAspect="1"/>
        </xdr:cNvPicPr>
      </xdr:nvPicPr>
      <xdr:blipFill>
        <a:blip r:embed="rId178"/>
        <a:stretch>
          <a:fillRect/>
        </a:stretch>
      </xdr:blipFill>
      <xdr:spPr>
        <a:xfrm>
          <a:off x="1323975" y="3221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3" name="ID_A934BBBA568A4A7AAC0C7DC4E37B6F9F"/>
        <xdr:cNvPicPr>
          <a:picLocks noChangeAspect="1"/>
        </xdr:cNvPicPr>
      </xdr:nvPicPr>
      <xdr:blipFill>
        <a:blip r:embed="rId179"/>
        <a:stretch>
          <a:fillRect/>
        </a:stretch>
      </xdr:blipFill>
      <xdr:spPr>
        <a:xfrm>
          <a:off x="1323975" y="3729355"/>
          <a:ext cx="47561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5" name="ID_3F01711F02924B928AF22A3322088269"/>
        <xdr:cNvPicPr>
          <a:picLocks noChangeAspect="1"/>
        </xdr:cNvPicPr>
      </xdr:nvPicPr>
      <xdr:blipFill>
        <a:blip r:embed="rId180"/>
        <a:stretch>
          <a:fillRect/>
        </a:stretch>
      </xdr:blipFill>
      <xdr:spPr>
        <a:xfrm>
          <a:off x="1323975" y="474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5" name="ID_F70DEC92B2DB48969925335DDA7128E1"/>
        <xdr:cNvPicPr>
          <a:picLocks noChangeAspect="1"/>
        </xdr:cNvPicPr>
      </xdr:nvPicPr>
      <xdr:blipFill>
        <a:blip r:embed="rId181"/>
        <a:stretch>
          <a:fillRect/>
        </a:stretch>
      </xdr:blipFill>
      <xdr:spPr>
        <a:xfrm>
          <a:off x="1342390" y="1701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4" name="ID_160376FC8C8D4E8BA2F154BAA03B7139"/>
        <xdr:cNvPicPr>
          <a:picLocks noChangeAspect="1"/>
        </xdr:cNvPicPr>
      </xdr:nvPicPr>
      <xdr:blipFill>
        <a:blip r:embed="rId182"/>
        <a:stretch>
          <a:fillRect/>
        </a:stretch>
      </xdr:blipFill>
      <xdr:spPr>
        <a:xfrm>
          <a:off x="1342390" y="1650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3" name="ID_B29E0B8463234924BBB65C6C79031091"/>
        <xdr:cNvPicPr>
          <a:picLocks noChangeAspect="1"/>
        </xdr:cNvPicPr>
      </xdr:nvPicPr>
      <xdr:blipFill>
        <a:blip r:embed="rId183"/>
        <a:stretch>
          <a:fillRect/>
        </a:stretch>
      </xdr:blipFill>
      <xdr:spPr>
        <a:xfrm>
          <a:off x="1342390" y="1599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2" name="ID_98EC605DA00F4B9EA1F7DBB13BEEDD8D"/>
        <xdr:cNvPicPr>
          <a:picLocks noChangeAspect="1"/>
        </xdr:cNvPicPr>
      </xdr:nvPicPr>
      <xdr:blipFill>
        <a:blip r:embed="rId184"/>
        <a:stretch>
          <a:fillRect/>
        </a:stretch>
      </xdr:blipFill>
      <xdr:spPr>
        <a:xfrm>
          <a:off x="1342390" y="15489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1" name="ID_2D4F19422DD94E92A557E4477C27D288"/>
        <xdr:cNvPicPr>
          <a:picLocks noChangeAspect="1"/>
        </xdr:cNvPicPr>
      </xdr:nvPicPr>
      <xdr:blipFill>
        <a:blip r:embed="rId185"/>
        <a:stretch>
          <a:fillRect/>
        </a:stretch>
      </xdr:blipFill>
      <xdr:spPr>
        <a:xfrm>
          <a:off x="1342390" y="1498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8" name="ID_11248BC070EE486982BB0B5EC2E9CB12"/>
        <xdr:cNvPicPr>
          <a:picLocks noChangeAspect="1"/>
        </xdr:cNvPicPr>
      </xdr:nvPicPr>
      <xdr:blipFill>
        <a:blip r:embed="rId186"/>
        <a:stretch>
          <a:fillRect/>
        </a:stretch>
      </xdr:blipFill>
      <xdr:spPr>
        <a:xfrm>
          <a:off x="1342390" y="1345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7" name="ID_995EE315F48E49AD836D346EDF1F3A53"/>
        <xdr:cNvPicPr>
          <a:picLocks noChangeAspect="1"/>
        </xdr:cNvPicPr>
      </xdr:nvPicPr>
      <xdr:blipFill>
        <a:blip r:embed="rId187"/>
        <a:stretch>
          <a:fillRect/>
        </a:stretch>
      </xdr:blipFill>
      <xdr:spPr>
        <a:xfrm>
          <a:off x="1342390" y="12949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6" name="ID_F258CD6BFCC5411D95997B2394662D36"/>
        <xdr:cNvPicPr>
          <a:picLocks noChangeAspect="1"/>
        </xdr:cNvPicPr>
      </xdr:nvPicPr>
      <xdr:blipFill>
        <a:blip r:embed="rId188"/>
        <a:stretch>
          <a:fillRect/>
        </a:stretch>
      </xdr:blipFill>
      <xdr:spPr>
        <a:xfrm>
          <a:off x="1342390" y="1244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5" name="ID_663EA6CF7ADA4C04BFCE7AC30DCA86B5"/>
        <xdr:cNvPicPr>
          <a:picLocks noChangeAspect="1"/>
        </xdr:cNvPicPr>
      </xdr:nvPicPr>
      <xdr:blipFill>
        <a:blip r:embed="rId189"/>
        <a:stretch>
          <a:fillRect/>
        </a:stretch>
      </xdr:blipFill>
      <xdr:spPr>
        <a:xfrm>
          <a:off x="1342390" y="1193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4" name="ID_20E53883F1124D6F8D6D09ABD2B68B86"/>
        <xdr:cNvPicPr>
          <a:picLocks noChangeAspect="1"/>
        </xdr:cNvPicPr>
      </xdr:nvPicPr>
      <xdr:blipFill>
        <a:blip r:embed="rId190"/>
        <a:stretch>
          <a:fillRect/>
        </a:stretch>
      </xdr:blipFill>
      <xdr:spPr>
        <a:xfrm>
          <a:off x="1342390" y="1142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1" name="ID_A470CADDD32A4951BCC6495B4A9B85F5"/>
        <xdr:cNvPicPr>
          <a:picLocks noChangeAspect="1"/>
        </xdr:cNvPicPr>
      </xdr:nvPicPr>
      <xdr:blipFill>
        <a:blip r:embed="rId191"/>
        <a:stretch>
          <a:fillRect/>
        </a:stretch>
      </xdr:blipFill>
      <xdr:spPr>
        <a:xfrm>
          <a:off x="1342390" y="990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0" name="ID_59640D096FE148F6B42C0ED407B6C28F"/>
        <xdr:cNvPicPr>
          <a:picLocks noChangeAspect="1"/>
        </xdr:cNvPicPr>
      </xdr:nvPicPr>
      <xdr:blipFill>
        <a:blip r:embed="rId192"/>
        <a:stretch>
          <a:fillRect/>
        </a:stretch>
      </xdr:blipFill>
      <xdr:spPr>
        <a:xfrm>
          <a:off x="1342390" y="939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9" name="ID_FF56D58A0B064C748DEF09A2D4A64B27"/>
        <xdr:cNvPicPr>
          <a:picLocks noChangeAspect="1"/>
        </xdr:cNvPicPr>
      </xdr:nvPicPr>
      <xdr:blipFill>
        <a:blip r:embed="rId193"/>
        <a:stretch>
          <a:fillRect/>
        </a:stretch>
      </xdr:blipFill>
      <xdr:spPr>
        <a:xfrm>
          <a:off x="1342390" y="888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8" name="ID_1FBA0DA8850F45B18BD38BE9C61D257B"/>
        <xdr:cNvPicPr>
          <a:picLocks noChangeAspect="1"/>
        </xdr:cNvPicPr>
      </xdr:nvPicPr>
      <xdr:blipFill>
        <a:blip r:embed="rId194"/>
        <a:stretch>
          <a:fillRect/>
        </a:stretch>
      </xdr:blipFill>
      <xdr:spPr>
        <a:xfrm>
          <a:off x="1342390" y="837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7" name="ID_6F063E78CAA44C75BAB4ABB2103D579B"/>
        <xdr:cNvPicPr>
          <a:picLocks noChangeAspect="1"/>
        </xdr:cNvPicPr>
      </xdr:nvPicPr>
      <xdr:blipFill>
        <a:blip r:embed="rId195"/>
        <a:stretch>
          <a:fillRect/>
        </a:stretch>
      </xdr:blipFill>
      <xdr:spPr>
        <a:xfrm>
          <a:off x="1342390" y="7869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6" name="ID_76C7B55021AF42D1BA111CC35C0756B9"/>
        <xdr:cNvPicPr>
          <a:picLocks noChangeAspect="1"/>
        </xdr:cNvPicPr>
      </xdr:nvPicPr>
      <xdr:blipFill>
        <a:blip r:embed="rId196"/>
        <a:stretch>
          <a:fillRect/>
        </a:stretch>
      </xdr:blipFill>
      <xdr:spPr>
        <a:xfrm>
          <a:off x="1342390" y="736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5" name="ID_025CA94001EB422FA8A8B10D9D24F3E4"/>
        <xdr:cNvPicPr>
          <a:picLocks noChangeAspect="1"/>
        </xdr:cNvPicPr>
      </xdr:nvPicPr>
      <xdr:blipFill>
        <a:blip r:embed="rId197"/>
        <a:stretch>
          <a:fillRect/>
        </a:stretch>
      </xdr:blipFill>
      <xdr:spPr>
        <a:xfrm>
          <a:off x="1342390" y="685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4" name="ID_F25E324AE5054E67926089463596587E"/>
        <xdr:cNvPicPr>
          <a:picLocks noChangeAspect="1"/>
        </xdr:cNvPicPr>
      </xdr:nvPicPr>
      <xdr:blipFill>
        <a:blip r:embed="rId198"/>
        <a:stretch>
          <a:fillRect/>
        </a:stretch>
      </xdr:blipFill>
      <xdr:spPr>
        <a:xfrm>
          <a:off x="1342390" y="634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3" name="ID_8503B5DF2ACE4D4F8E79C83170350E98"/>
        <xdr:cNvPicPr>
          <a:picLocks noChangeAspect="1"/>
        </xdr:cNvPicPr>
      </xdr:nvPicPr>
      <xdr:blipFill>
        <a:blip r:embed="rId199"/>
        <a:stretch>
          <a:fillRect/>
        </a:stretch>
      </xdr:blipFill>
      <xdr:spPr>
        <a:xfrm>
          <a:off x="1342390" y="583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5" name="ID_2822CA7DD28E4D9B81A96CD835701EAD"/>
        <xdr:cNvPicPr>
          <a:picLocks noChangeAspect="1"/>
        </xdr:cNvPicPr>
      </xdr:nvPicPr>
      <xdr:blipFill>
        <a:blip r:embed="rId200"/>
        <a:stretch>
          <a:fillRect/>
        </a:stretch>
      </xdr:blipFill>
      <xdr:spPr>
        <a:xfrm>
          <a:off x="1342390" y="177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4" name="ID_DF88F420442B491A9C2F559EA8524D3B"/>
        <xdr:cNvPicPr>
          <a:picLocks noChangeAspect="1"/>
        </xdr:cNvPicPr>
      </xdr:nvPicPr>
      <xdr:blipFill>
        <a:blip r:embed="rId201"/>
        <a:stretch>
          <a:fillRect/>
        </a:stretch>
      </xdr:blipFill>
      <xdr:spPr>
        <a:xfrm>
          <a:off x="1342390" y="126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6" name="ID_2BF09A0B37DD4324BF08EA56EC8809F3"/>
        <xdr:cNvPicPr>
          <a:picLocks noChangeAspect="1"/>
        </xdr:cNvPicPr>
      </xdr:nvPicPr>
      <xdr:blipFill>
        <a:blip r:embed="rId202"/>
        <a:stretch>
          <a:fillRect/>
        </a:stretch>
      </xdr:blipFill>
      <xdr:spPr>
        <a:xfrm>
          <a:off x="1342390" y="228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7" name="ID_842E70D6C5444F43B9B07890F4642BA6"/>
        <xdr:cNvPicPr>
          <a:picLocks noChangeAspect="1"/>
        </xdr:cNvPicPr>
      </xdr:nvPicPr>
      <xdr:blipFill>
        <a:blip r:embed="rId203"/>
        <a:stretch>
          <a:fillRect/>
        </a:stretch>
      </xdr:blipFill>
      <xdr:spPr>
        <a:xfrm>
          <a:off x="1342390" y="2789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8" name="ID_5465629EB21547AC9697D20C626B9ADE"/>
        <xdr:cNvPicPr>
          <a:picLocks noChangeAspect="1"/>
        </xdr:cNvPicPr>
      </xdr:nvPicPr>
      <xdr:blipFill>
        <a:blip r:embed="rId204"/>
        <a:stretch>
          <a:fillRect/>
        </a:stretch>
      </xdr:blipFill>
      <xdr:spPr>
        <a:xfrm>
          <a:off x="1342390" y="329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9" name="ID_26D1295F321E48D4BF3B83DA8D2BEDF0"/>
        <xdr:cNvPicPr>
          <a:picLocks noChangeAspect="1"/>
        </xdr:cNvPicPr>
      </xdr:nvPicPr>
      <xdr:blipFill>
        <a:blip r:embed="rId205"/>
        <a:stretch>
          <a:fillRect/>
        </a:stretch>
      </xdr:blipFill>
      <xdr:spPr>
        <a:xfrm>
          <a:off x="1342390" y="380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0" name="ID_EA258259F9F540969492DBE4307EC17C"/>
        <xdr:cNvPicPr>
          <a:picLocks noChangeAspect="1"/>
        </xdr:cNvPicPr>
      </xdr:nvPicPr>
      <xdr:blipFill>
        <a:blip r:embed="rId206"/>
        <a:stretch>
          <a:fillRect/>
        </a:stretch>
      </xdr:blipFill>
      <xdr:spPr>
        <a:xfrm>
          <a:off x="1342390" y="431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1" name="ID_44D20FEE6BF8478AA7A833989426D7D3"/>
        <xdr:cNvPicPr>
          <a:picLocks noChangeAspect="1"/>
        </xdr:cNvPicPr>
      </xdr:nvPicPr>
      <xdr:blipFill>
        <a:blip r:embed="rId207"/>
        <a:stretch>
          <a:fillRect/>
        </a:stretch>
      </xdr:blipFill>
      <xdr:spPr>
        <a:xfrm>
          <a:off x="1342390" y="482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132" name="ID_467966D24D254DAFB9025E4824C38221" descr="无糖奶茶头像"/>
        <xdr:cNvPicPr>
          <a:picLocks noChangeAspect="1"/>
        </xdr:cNvPicPr>
      </xdr:nvPicPr>
      <xdr:blipFill>
        <a:blip r:embed="rId50" r:link="rId2"/>
        <a:stretch>
          <a:fillRect/>
        </a:stretch>
      </xdr:blipFill>
      <xdr:spPr>
        <a:xfrm>
          <a:off x="795020" y="7334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7" name="ID_372925DD8CB0467B92525FA61EF5FB7D"/>
        <xdr:cNvPicPr>
          <a:picLocks noChangeAspect="1"/>
        </xdr:cNvPicPr>
      </xdr:nvPicPr>
      <xdr:blipFill>
        <a:blip r:embed="rId208" r:link="rId2"/>
        <a:stretch>
          <a:fillRect/>
        </a:stretch>
      </xdr:blipFill>
      <xdr:spPr>
        <a:xfrm>
          <a:off x="795020" y="6826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3" name="ID_1F6FDAF0ED3D431EAB7AA64A38F4BB8F"/>
        <xdr:cNvPicPr>
          <a:picLocks noChangeAspect="1"/>
        </xdr:cNvPicPr>
      </xdr:nvPicPr>
      <xdr:blipFill>
        <a:blip r:embed="rId111" r:link="rId2"/>
        <a:stretch>
          <a:fillRect/>
        </a:stretch>
      </xdr:blipFill>
      <xdr:spPr>
        <a:xfrm>
          <a:off x="795020" y="6318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6" name="ID_C84293C4FCB849FA9DC9DEC789150165"/>
        <xdr:cNvPicPr>
          <a:picLocks noChangeAspect="1"/>
        </xdr:cNvPicPr>
      </xdr:nvPicPr>
      <xdr:blipFill>
        <a:blip r:embed="rId209" r:link="rId2"/>
        <a:stretch>
          <a:fillRect/>
        </a:stretch>
      </xdr:blipFill>
      <xdr:spPr>
        <a:xfrm>
          <a:off x="795020" y="5810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5" name="ID_71A68A67E6D94B428053E8A3DDFE409E"/>
        <xdr:cNvPicPr>
          <a:picLocks noChangeAspect="1"/>
        </xdr:cNvPicPr>
      </xdr:nvPicPr>
      <xdr:blipFill>
        <a:blip r:embed="rId210" r:link="rId2"/>
        <a:stretch>
          <a:fillRect/>
        </a:stretch>
      </xdr:blipFill>
      <xdr:spPr>
        <a:xfrm>
          <a:off x="795655" y="5302250"/>
          <a:ext cx="475615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1" name="ID_17F8DAE0FB3944338FDD5DD9E57873C1"/>
        <xdr:cNvPicPr>
          <a:picLocks noChangeAspect="1"/>
        </xdr:cNvPicPr>
      </xdr:nvPicPr>
      <xdr:blipFill>
        <a:blip r:embed="rId211" r:link="rId2"/>
        <a:stretch>
          <a:fillRect/>
        </a:stretch>
      </xdr:blipFill>
      <xdr:spPr>
        <a:xfrm>
          <a:off x="795020" y="2254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4" name="ID_5BA8960DA9DB42B0B6587B58B3D08D39" descr="朱铁雄头像"/>
        <xdr:cNvPicPr>
          <a:picLocks noChangeAspect="1"/>
        </xdr:cNvPicPr>
      </xdr:nvPicPr>
      <xdr:blipFill>
        <a:blip r:embed="rId212"/>
        <a:stretch>
          <a:fillRect/>
        </a:stretch>
      </xdr:blipFill>
      <xdr:spPr>
        <a:xfrm>
          <a:off x="798830" y="1238250"/>
          <a:ext cx="469265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5" name="ID_F79D9C42E0B9416AB978B02977D16978" descr="雪蕊宝宝头像"/>
        <xdr:cNvPicPr>
          <a:picLocks noChangeAspect="1"/>
        </xdr:cNvPicPr>
      </xdr:nvPicPr>
      <xdr:blipFill>
        <a:blip r:embed="rId213" r:link="rId2"/>
        <a:stretch>
          <a:fillRect/>
        </a:stretch>
      </xdr:blipFill>
      <xdr:spPr>
        <a:xfrm>
          <a:off x="795020" y="1746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6" name="ID_6B4C1FCC817C41339EF9AA4A3AAF6C95" descr="管家小葛头像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795020" y="2762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7" name="ID_F89057084AD749EC952C4FC456F32EC0" descr="超不可爱小朋友头像"/>
        <xdr:cNvPicPr>
          <a:picLocks noChangeAspect="1"/>
        </xdr:cNvPicPr>
      </xdr:nvPicPr>
      <xdr:blipFill>
        <a:blip r:embed="rId61" r:link="rId2"/>
        <a:stretch>
          <a:fillRect/>
        </a:stretch>
      </xdr:blipFill>
      <xdr:spPr>
        <a:xfrm>
          <a:off x="795020" y="3270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2" name="ID_F0EE0381F5B1436DAEEE251ADF939B0E"/>
        <xdr:cNvPicPr>
          <a:picLocks noChangeAspect="1"/>
        </xdr:cNvPicPr>
      </xdr:nvPicPr>
      <xdr:blipFill>
        <a:blip r:embed="rId214" r:link="rId2"/>
        <a:stretch>
          <a:fillRect/>
        </a:stretch>
      </xdr:blipFill>
      <xdr:spPr>
        <a:xfrm>
          <a:off x="795020" y="3778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3" name="ID_CB3295A1027744EC857B486DC6893A52"/>
        <xdr:cNvPicPr>
          <a:picLocks noChangeAspect="1"/>
        </xdr:cNvPicPr>
      </xdr:nvPicPr>
      <xdr:blipFill>
        <a:blip r:embed="rId215" r:link="rId2"/>
        <a:stretch>
          <a:fillRect/>
        </a:stretch>
      </xdr:blipFill>
      <xdr:spPr>
        <a:xfrm>
          <a:off x="795020" y="4286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4" name="ID_EBCA562BE6304D399B78784BF72C7A46"/>
        <xdr:cNvPicPr>
          <a:picLocks noChangeAspect="1"/>
        </xdr:cNvPicPr>
      </xdr:nvPicPr>
      <xdr:blipFill>
        <a:blip r:embed="rId216" r:link="rId2"/>
        <a:stretch>
          <a:fillRect/>
        </a:stretch>
      </xdr:blipFill>
      <xdr:spPr>
        <a:xfrm>
          <a:off x="795020" y="4794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8" name="ID_5CD421089FC443FC94858D5BE6B5A6DF" descr="葡🍇头像"/>
        <xdr:cNvPicPr>
          <a:picLocks noChangeAspect="1"/>
        </xdr:cNvPicPr>
      </xdr:nvPicPr>
      <xdr:blipFill>
        <a:blip r:embed="rId217" r:link="rId2"/>
        <a:stretch>
          <a:fillRect/>
        </a:stretch>
      </xdr:blipFill>
      <xdr:spPr>
        <a:xfrm>
          <a:off x="375920" y="27959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6" name="ID_BC10D53D01AB439C8C91A8495437B0BD" descr="gìngìn头像"/>
        <xdr:cNvPicPr>
          <a:picLocks noChangeAspect="1"/>
        </xdr:cNvPicPr>
      </xdr:nvPicPr>
      <xdr:blipFill>
        <a:blip r:embed="rId218" r:link="rId2"/>
        <a:stretch>
          <a:fillRect/>
        </a:stretch>
      </xdr:blipFill>
      <xdr:spPr>
        <a:xfrm>
          <a:off x="375920" y="27070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5" name="ID_AE0D326C3431465AB31A17963D0A4333" descr="羊羊头像"/>
        <xdr:cNvPicPr>
          <a:picLocks noChangeAspect="1"/>
        </xdr:cNvPicPr>
      </xdr:nvPicPr>
      <xdr:blipFill>
        <a:blip r:embed="rId219" r:link="rId2"/>
        <a:stretch>
          <a:fillRect/>
        </a:stretch>
      </xdr:blipFill>
      <xdr:spPr>
        <a:xfrm>
          <a:off x="375920" y="26625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8" name="ID_D9FB7FDC3CA64F10A2691A5E85966BA3" descr="捣蛋丸子头像"/>
        <xdr:cNvPicPr>
          <a:picLocks noChangeAspect="1"/>
        </xdr:cNvPicPr>
      </xdr:nvPicPr>
      <xdr:blipFill>
        <a:blip r:embed="rId220" r:link="rId2"/>
        <a:stretch>
          <a:fillRect/>
        </a:stretch>
      </xdr:blipFill>
      <xdr:spPr>
        <a:xfrm>
          <a:off x="375920" y="23514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9" name="ID_95521064C5F04974854A6490DD5C33C9" descr="温在源Aikey头像"/>
        <xdr:cNvPicPr>
          <a:picLocks noChangeAspect="1"/>
        </xdr:cNvPicPr>
      </xdr:nvPicPr>
      <xdr:blipFill>
        <a:blip r:embed="rId221" r:link="rId2"/>
        <a:stretch>
          <a:fillRect/>
        </a:stretch>
      </xdr:blipFill>
      <xdr:spPr>
        <a:xfrm>
          <a:off x="375920" y="22625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5" name="ID_D9E77F299095469D954CFC957C7F9A65" descr="我是小晨头像"/>
        <xdr:cNvPicPr>
          <a:picLocks noChangeAspect="1"/>
        </xdr:cNvPicPr>
      </xdr:nvPicPr>
      <xdr:blipFill>
        <a:blip r:embed="rId222" r:link="rId2"/>
        <a:stretch>
          <a:fillRect/>
        </a:stretch>
      </xdr:blipFill>
      <xdr:spPr>
        <a:xfrm>
          <a:off x="375920" y="21291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1" name="ID_42A3276CF51A41A4BF84A20901EC4C0D" descr="一只鹿璃头像"/>
        <xdr:cNvPicPr>
          <a:picLocks noChangeAspect="1"/>
        </xdr:cNvPicPr>
      </xdr:nvPicPr>
      <xdr:blipFill>
        <a:blip r:embed="rId223" r:link="rId2"/>
        <a:stretch>
          <a:fillRect/>
        </a:stretch>
      </xdr:blipFill>
      <xdr:spPr>
        <a:xfrm>
          <a:off x="375920" y="19513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0" name="ID_944A52349608496F82FAF7AF11D27DA3" descr="是蕾蕾呐头像"/>
        <xdr:cNvPicPr>
          <a:picLocks noChangeAspect="1"/>
        </xdr:cNvPicPr>
      </xdr:nvPicPr>
      <xdr:blipFill>
        <a:blip r:embed="rId224" r:link="rId2"/>
        <a:stretch>
          <a:fillRect/>
        </a:stretch>
      </xdr:blipFill>
      <xdr:spPr>
        <a:xfrm>
          <a:off x="375920" y="19069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4" name="ID_170B7E6763BC45D0855B5D0F0FBEAA56" descr="刘煜轩kab头像"/>
        <xdr:cNvPicPr>
          <a:picLocks noChangeAspect="1"/>
        </xdr:cNvPicPr>
      </xdr:nvPicPr>
      <xdr:blipFill>
        <a:blip r:embed="rId225" r:link="rId2"/>
        <a:stretch>
          <a:fillRect/>
        </a:stretch>
      </xdr:blipFill>
      <xdr:spPr>
        <a:xfrm>
          <a:off x="375920" y="18624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6" name="ID_3BA253F562B54339B4A9619792A8864F" descr="黄毅豪LeoWong头像"/>
        <xdr:cNvPicPr>
          <a:picLocks noChangeAspect="1"/>
        </xdr:cNvPicPr>
      </xdr:nvPicPr>
      <xdr:blipFill>
        <a:blip r:embed="rId226" r:link="rId2"/>
        <a:stretch>
          <a:fillRect/>
        </a:stretch>
      </xdr:blipFill>
      <xdr:spPr>
        <a:xfrm>
          <a:off x="375920" y="18180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8" name="ID_549C5029CD594BBF8A3751E507A88A23" descr="文祺头像"/>
        <xdr:cNvPicPr>
          <a:picLocks noChangeAspect="1"/>
        </xdr:cNvPicPr>
      </xdr:nvPicPr>
      <xdr:blipFill>
        <a:blip r:embed="rId227" r:link="rId2"/>
        <a:stretch>
          <a:fillRect/>
        </a:stretch>
      </xdr:blipFill>
      <xdr:spPr>
        <a:xfrm>
          <a:off x="375920" y="17735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0" name="ID_A3F44AC569AB446BA8AB93D7247E5A6B" descr="陈泽宇头像"/>
        <xdr:cNvPicPr>
          <a:picLocks noChangeAspect="1"/>
        </xdr:cNvPicPr>
      </xdr:nvPicPr>
      <xdr:blipFill>
        <a:blip r:embed="rId228" r:link="rId2"/>
        <a:stretch>
          <a:fillRect/>
        </a:stretch>
      </xdr:blipFill>
      <xdr:spPr>
        <a:xfrm>
          <a:off x="375920" y="17291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5" name="ID_627716413EF2477EBAB917183D52CFDE" descr="贺某人头像"/>
        <xdr:cNvPicPr>
          <a:picLocks noChangeAspect="1"/>
        </xdr:cNvPicPr>
      </xdr:nvPicPr>
      <xdr:blipFill>
        <a:blip r:embed="rId229" r:link="rId2"/>
        <a:stretch>
          <a:fillRect/>
        </a:stretch>
      </xdr:blipFill>
      <xdr:spPr>
        <a:xfrm>
          <a:off x="375920" y="16846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7" name="ID_8051392841D248C388F7FDA1B304E6CA" descr="宸濆墽路鍚磋弫鑿佲伒虏鈦封伔馃憫澶村儚"/>
        <xdr:cNvPicPr>
          <a:picLocks noChangeAspect="1"/>
        </xdr:cNvPicPr>
      </xdr:nvPicPr>
      <xdr:blipFill>
        <a:blip r:embed="rId230" r:link="rId2"/>
        <a:stretch>
          <a:fillRect/>
        </a:stretch>
      </xdr:blipFill>
      <xdr:spPr>
        <a:xfrm>
          <a:off x="375920" y="16402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0" name="ID_996902304CC646A3B6EBBBFF8B73BD30" descr="姹熷皬甯嗗竼馃挜澶村儚"/>
        <xdr:cNvPicPr>
          <a:picLocks noChangeAspect="1"/>
        </xdr:cNvPicPr>
      </xdr:nvPicPr>
      <xdr:blipFill>
        <a:blip r:embed="rId231" r:link="rId2"/>
        <a:stretch>
          <a:fillRect/>
        </a:stretch>
      </xdr:blipFill>
      <xdr:spPr>
        <a:xfrm>
          <a:off x="375920" y="15068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2" name="ID_E2FBD1CA953A4C55A41E01F2D867D589" descr="方东东头像"/>
        <xdr:cNvPicPr>
          <a:picLocks noChangeAspect="1"/>
        </xdr:cNvPicPr>
      </xdr:nvPicPr>
      <xdr:blipFill>
        <a:blip r:embed="rId232" r:link="rId2"/>
        <a:stretch>
          <a:fillRect/>
        </a:stretch>
      </xdr:blipFill>
      <xdr:spPr>
        <a:xfrm>
          <a:off x="375920" y="14179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3" name="ID_811F6202021D4B43A8DEB03B8172AF1D" descr="小白不小头像"/>
        <xdr:cNvPicPr>
          <a:picLocks noChangeAspect="1"/>
        </xdr:cNvPicPr>
      </xdr:nvPicPr>
      <xdr:blipFill>
        <a:blip r:embed="rId233" r:link="rId2"/>
        <a:stretch>
          <a:fillRect/>
        </a:stretch>
      </xdr:blipFill>
      <xdr:spPr>
        <a:xfrm>
          <a:off x="375920" y="13735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4" name="ID_C4A587C23CEA48BA897366784B7CFAA3" descr="在下李不头像"/>
        <xdr:cNvPicPr>
          <a:picLocks noChangeAspect="1"/>
        </xdr:cNvPicPr>
      </xdr:nvPicPr>
      <xdr:blipFill>
        <a:blip r:embed="rId234" r:link="rId2"/>
        <a:stretch>
          <a:fillRect/>
        </a:stretch>
      </xdr:blipFill>
      <xdr:spPr>
        <a:xfrm>
          <a:off x="375920" y="13290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5" name="ID_67690179DE0B42EAAD4DB5DA4B5A0F4F" descr="雪蕊宝宝头像"/>
        <xdr:cNvPicPr>
          <a:picLocks noChangeAspect="1"/>
        </xdr:cNvPicPr>
      </xdr:nvPicPr>
      <xdr:blipFill>
        <a:blip r:embed="rId213" r:link="rId2"/>
        <a:stretch>
          <a:fillRect/>
        </a:stretch>
      </xdr:blipFill>
      <xdr:spPr>
        <a:xfrm>
          <a:off x="375920" y="12846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6" name="ID_9DF673C24FA04328882B9A91E00184F0" descr="骆达华头像"/>
        <xdr:cNvPicPr>
          <a:picLocks noChangeAspect="1"/>
        </xdr:cNvPicPr>
      </xdr:nvPicPr>
      <xdr:blipFill>
        <a:blip r:embed="rId235" r:link="rId2"/>
        <a:stretch>
          <a:fillRect/>
        </a:stretch>
      </xdr:blipFill>
      <xdr:spPr>
        <a:xfrm>
          <a:off x="375920" y="12401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8" name="ID_5FDE35B0268C46BCB70D6DA4A875921A" descr="于洋。头像"/>
        <xdr:cNvPicPr>
          <a:picLocks noChangeAspect="1"/>
        </xdr:cNvPicPr>
      </xdr:nvPicPr>
      <xdr:blipFill>
        <a:blip r:embed="rId236" r:link="rId2"/>
        <a:stretch>
          <a:fillRect/>
        </a:stretch>
      </xdr:blipFill>
      <xdr:spPr>
        <a:xfrm>
          <a:off x="375920" y="11512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9" name="ID_58F2FCD39BC540128C7BEAE2A0928024" descr="你的一航头像"/>
        <xdr:cNvPicPr>
          <a:picLocks noChangeAspect="1"/>
        </xdr:cNvPicPr>
      </xdr:nvPicPr>
      <xdr:blipFill>
        <a:blip r:embed="rId237" r:link="rId2"/>
        <a:stretch>
          <a:fillRect/>
        </a:stretch>
      </xdr:blipFill>
      <xdr:spPr>
        <a:xfrm>
          <a:off x="375920" y="11068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1" name="ID_2031D1DA6A704E79BB7A156D3A8FFDD8" descr="玉总Lesley头像"/>
        <xdr:cNvPicPr>
          <a:picLocks noChangeAspect="1"/>
        </xdr:cNvPicPr>
      </xdr:nvPicPr>
      <xdr:blipFill>
        <a:blip r:embed="rId238" r:link="rId2"/>
        <a:stretch>
          <a:fillRect/>
        </a:stretch>
      </xdr:blipFill>
      <xdr:spPr>
        <a:xfrm>
          <a:off x="375920" y="10179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2" name="ID_6E7FC8A6D55840A8BE94BF7952044230" descr="混血两公主（在奥地利）头像"/>
        <xdr:cNvPicPr>
          <a:picLocks noChangeAspect="1"/>
        </xdr:cNvPicPr>
      </xdr:nvPicPr>
      <xdr:blipFill>
        <a:blip r:embed="rId239" r:link="rId2"/>
        <a:stretch>
          <a:fillRect/>
        </a:stretch>
      </xdr:blipFill>
      <xdr:spPr>
        <a:xfrm>
          <a:off x="375920" y="9734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6" name="ID_0F56D0A8EA4C4786AD6FCABB58AB23E6" descr="闆効馃尀(浼戝吇涓級澶村儚"/>
        <xdr:cNvPicPr>
          <a:picLocks noChangeAspect="1"/>
        </xdr:cNvPicPr>
      </xdr:nvPicPr>
      <xdr:blipFill>
        <a:blip r:embed="rId240" r:link="rId2"/>
        <a:stretch>
          <a:fillRect/>
        </a:stretch>
      </xdr:blipFill>
      <xdr:spPr>
        <a:xfrm>
          <a:off x="375920" y="7956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7" name="ID_61797551686346DC9014A66E142A21ED" descr="我不是保琳球头像"/>
        <xdr:cNvPicPr>
          <a:picLocks noChangeAspect="1"/>
        </xdr:cNvPicPr>
      </xdr:nvPicPr>
      <xdr:blipFill>
        <a:blip r:embed="rId241" r:link="rId2"/>
        <a:stretch>
          <a:fillRect/>
        </a:stretch>
      </xdr:blipFill>
      <xdr:spPr>
        <a:xfrm>
          <a:off x="375920" y="7512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8" name="ID_9391F2E58C70485E9F991E86C9689E40" descr="Fanny头像"/>
        <xdr:cNvPicPr>
          <a:picLocks noChangeAspect="1"/>
        </xdr:cNvPicPr>
      </xdr:nvPicPr>
      <xdr:blipFill>
        <a:blip r:embed="rId242" r:link="rId2"/>
        <a:stretch>
          <a:fillRect/>
        </a:stretch>
      </xdr:blipFill>
      <xdr:spPr>
        <a:xfrm>
          <a:off x="375920" y="7067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9" name="ID_436F9FD2D8A149029DBCE5612E7FCC13" descr="尾巴头像"/>
        <xdr:cNvPicPr>
          <a:picLocks noChangeAspect="1"/>
        </xdr:cNvPicPr>
      </xdr:nvPicPr>
      <xdr:blipFill>
        <a:blip r:embed="rId243" r:link="rId2"/>
        <a:stretch>
          <a:fillRect/>
        </a:stretch>
      </xdr:blipFill>
      <xdr:spPr>
        <a:xfrm>
          <a:off x="375920" y="6623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0" name="ID_65D6B7887BF64FD2867A03CFBC78038B" descr="优栗鼠头像"/>
        <xdr:cNvPicPr>
          <a:picLocks noChangeAspect="1"/>
        </xdr:cNvPicPr>
      </xdr:nvPicPr>
      <xdr:blipFill>
        <a:blip r:embed="rId244" r:link="rId2"/>
        <a:stretch>
          <a:fillRect/>
        </a:stretch>
      </xdr:blipFill>
      <xdr:spPr>
        <a:xfrm>
          <a:off x="375920" y="6178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1" name="ID_239842D3F75A4FE68730B55C4EC3A2AF" descr="长轴距小助理头像"/>
        <xdr:cNvPicPr>
          <a:picLocks noChangeAspect="1"/>
        </xdr:cNvPicPr>
      </xdr:nvPicPr>
      <xdr:blipFill>
        <a:blip r:embed="rId245" r:link="rId2"/>
        <a:stretch>
          <a:fillRect/>
        </a:stretch>
      </xdr:blipFill>
      <xdr:spPr>
        <a:xfrm>
          <a:off x="375920" y="5734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2" name="ID_8C49C15C7A3B46A6B04F3DD25BA47C6D" descr="切尔幂头像"/>
        <xdr:cNvPicPr>
          <a:picLocks noChangeAspect="1"/>
        </xdr:cNvPicPr>
      </xdr:nvPicPr>
      <xdr:blipFill>
        <a:blip r:embed="rId246" r:link="rId2"/>
        <a:stretch>
          <a:fillRect/>
        </a:stretch>
      </xdr:blipFill>
      <xdr:spPr>
        <a:xfrm>
          <a:off x="375920" y="5289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3" name="ID_8E9BF73DA88F4B7EBC2ABDBDAE39B859" descr="鎏汐头像"/>
        <xdr:cNvPicPr>
          <a:picLocks noChangeAspect="1"/>
        </xdr:cNvPicPr>
      </xdr:nvPicPr>
      <xdr:blipFill>
        <a:blip r:embed="rId247" r:link="rId2"/>
        <a:stretch>
          <a:fillRect/>
        </a:stretch>
      </xdr:blipFill>
      <xdr:spPr>
        <a:xfrm>
          <a:off x="375920" y="4845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4" name="ID_C49163FCBB244525971274056E26C429" descr="嘿人李逵头像"/>
        <xdr:cNvPicPr>
          <a:picLocks noChangeAspect="1"/>
        </xdr:cNvPicPr>
      </xdr:nvPicPr>
      <xdr:blipFill>
        <a:blip r:embed="rId248" r:link="rId2"/>
        <a:stretch>
          <a:fillRect/>
        </a:stretch>
      </xdr:blipFill>
      <xdr:spPr>
        <a:xfrm>
          <a:off x="375920" y="2178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7" name="ID_C1BB363F239B4EDF8767AF2D5077F79F" descr="唐一嘉&amp;小黄毛儿头像"/>
        <xdr:cNvPicPr>
          <a:picLocks noChangeAspect="1"/>
        </xdr:cNvPicPr>
      </xdr:nvPicPr>
      <xdr:blipFill>
        <a:blip r:embed="rId249" r:link="rId2"/>
        <a:stretch>
          <a:fillRect/>
        </a:stretch>
      </xdr:blipFill>
      <xdr:spPr>
        <a:xfrm>
          <a:off x="375920" y="2622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8" name="ID_8E572C28C332409CBC778FAC9CC485EE" descr="鍒樻鎮︷煄ゅ師鍒涘崟鏇层€婇€佸懡棰樸€嬪凡鍏ㄧ綉涓婄嚎澶村儚"/>
        <xdr:cNvPicPr>
          <a:picLocks noChangeAspect="1"/>
        </xdr:cNvPicPr>
      </xdr:nvPicPr>
      <xdr:blipFill>
        <a:blip r:embed="rId250" r:link="rId2"/>
        <a:stretch>
          <a:fillRect/>
        </a:stretch>
      </xdr:blipFill>
      <xdr:spPr>
        <a:xfrm>
          <a:off x="375920" y="3067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9" name="ID_51CC1604D87B4A769D49B1E9D059D9BE" descr="舞编K文头像"/>
        <xdr:cNvPicPr>
          <a:picLocks noChangeAspect="1"/>
        </xdr:cNvPicPr>
      </xdr:nvPicPr>
      <xdr:blipFill>
        <a:blip r:embed="rId251" r:link="rId2"/>
        <a:stretch>
          <a:fillRect/>
        </a:stretch>
      </xdr:blipFill>
      <xdr:spPr>
        <a:xfrm>
          <a:off x="375920" y="3511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61" name="ID_A3EB5B898982411D993D9EF9E4696D0A" descr="珞梵哥哥头像"/>
        <xdr:cNvPicPr>
          <a:picLocks noChangeAspect="1"/>
        </xdr:cNvPicPr>
      </xdr:nvPicPr>
      <xdr:blipFill>
        <a:blip r:embed="rId252" r:link="rId2"/>
        <a:stretch>
          <a:fillRect/>
        </a:stretch>
      </xdr:blipFill>
      <xdr:spPr>
        <a:xfrm>
          <a:off x="375920" y="4400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" name="ID_3612EE88D5934574A901D287B93AF116" descr="榴莲阿头像"/>
        <xdr:cNvPicPr>
          <a:picLocks noChangeAspect="1"/>
        </xdr:cNvPicPr>
      </xdr:nvPicPr>
      <xdr:blipFill>
        <a:blip r:embed="rId253" r:link="rId2"/>
        <a:stretch>
          <a:fillRect/>
        </a:stretch>
      </xdr:blipFill>
      <xdr:spPr>
        <a:xfrm>
          <a:off x="1163320" y="736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" name="ID_DED44950FB3F4536AFD79051CF630AE4" descr="名摄影小新头像"/>
        <xdr:cNvPicPr>
          <a:picLocks noChangeAspect="1"/>
        </xdr:cNvPicPr>
      </xdr:nvPicPr>
      <xdr:blipFill>
        <a:blip r:embed="rId254" r:link="rId2"/>
        <a:stretch>
          <a:fillRect/>
        </a:stretch>
      </xdr:blipFill>
      <xdr:spPr>
        <a:xfrm>
          <a:off x="934720" y="2032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" name="ID_4A52CBE6C67044278DDF916306B282E7"/>
        <xdr:cNvPicPr>
          <a:picLocks noChangeAspect="1"/>
        </xdr:cNvPicPr>
      </xdr:nvPicPr>
      <xdr:blipFill>
        <a:blip r:embed="rId255" r:link="rId2"/>
        <a:stretch>
          <a:fillRect/>
        </a:stretch>
      </xdr:blipFill>
      <xdr:spPr>
        <a:xfrm>
          <a:off x="1371600" y="8509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" name="ID_8F6E789AFED045BC8BD281E8D1E2E449" descr="失野晶头像"/>
        <xdr:cNvPicPr>
          <a:picLocks noChangeAspect="1"/>
        </xdr:cNvPicPr>
      </xdr:nvPicPr>
      <xdr:blipFill>
        <a:blip r:embed="rId256" r:link="rId2"/>
        <a:stretch>
          <a:fillRect/>
        </a:stretch>
      </xdr:blipFill>
      <xdr:spPr>
        <a:xfrm>
          <a:off x="934720" y="48577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" name="ID_9F98F5572FA143D1A3AA0C7A4A20E102"/>
        <xdr:cNvPicPr>
          <a:picLocks noChangeAspect="1"/>
        </xdr:cNvPicPr>
      </xdr:nvPicPr>
      <xdr:blipFill>
        <a:blip r:embed="rId257" r:link="rId2"/>
        <a:stretch>
          <a:fillRect/>
        </a:stretch>
      </xdr:blipFill>
      <xdr:spPr>
        <a:xfrm>
          <a:off x="1371600" y="12065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0" name="ID_077377ADD3C24B33BCCC53FAD7D87B8B" descr="灏忓ぉ鎵嶐煪勨湪澶村儚"/>
        <xdr:cNvPicPr>
          <a:picLocks noChangeAspect="1"/>
        </xdr:cNvPicPr>
      </xdr:nvPicPr>
      <xdr:blipFill>
        <a:blip r:embed="rId258" r:link="rId2"/>
        <a:stretch>
          <a:fillRect/>
        </a:stretch>
      </xdr:blipFill>
      <xdr:spPr>
        <a:xfrm>
          <a:off x="352425" y="21272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1" name="ID_C63D8BEF69054299BD99EFFB82F2FA85"/>
        <xdr:cNvPicPr>
          <a:picLocks noChangeAspect="1"/>
        </xdr:cNvPicPr>
      </xdr:nvPicPr>
      <xdr:blipFill>
        <a:blip r:embed="rId259" r:link="rId2"/>
        <a:stretch>
          <a:fillRect/>
        </a:stretch>
      </xdr:blipFill>
      <xdr:spPr>
        <a:xfrm>
          <a:off x="1371600" y="15621000"/>
          <a:ext cx="5143500" cy="5143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" name="ID_1D344B6954DA404A99AA33F1FE741BC1" descr="鍙跺瓙瀹濆疂馃崈CAG澶村儚"/>
        <xdr:cNvPicPr>
          <a:picLocks noChangeAspect="1"/>
        </xdr:cNvPicPr>
      </xdr:nvPicPr>
      <xdr:blipFill>
        <a:blip r:embed="rId260" r:link="rId2"/>
        <a:stretch>
          <a:fillRect/>
        </a:stretch>
      </xdr:blipFill>
      <xdr:spPr>
        <a:xfrm>
          <a:off x="934720" y="1270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1" name="ID_A6675DD95B294FC2ACC30F776E4AB778"/>
        <xdr:cNvPicPr>
          <a:picLocks noChangeAspect="1"/>
        </xdr:cNvPicPr>
      </xdr:nvPicPr>
      <xdr:blipFill>
        <a:blip r:embed="rId261" r:link="rId2"/>
        <a:stretch>
          <a:fillRect/>
        </a:stretch>
      </xdr:blipFill>
      <xdr:spPr>
        <a:xfrm>
          <a:off x="1371600" y="1587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" name="ID_E087719546474FE096C56135EBBC5D5A"/>
        <xdr:cNvPicPr>
          <a:picLocks noChangeAspect="1"/>
        </xdr:cNvPicPr>
      </xdr:nvPicPr>
      <xdr:blipFill>
        <a:blip r:embed="rId262" r:link="rId2"/>
        <a:stretch>
          <a:fillRect/>
        </a:stretch>
      </xdr:blipFill>
      <xdr:spPr>
        <a:xfrm>
          <a:off x="1371600" y="2095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" name="ID_5FBD3AADE5A8499AAD44448BAFF3AB1B" descr="柒柒科技测评头像"/>
        <xdr:cNvPicPr>
          <a:picLocks noChangeAspect="1"/>
        </xdr:cNvPicPr>
      </xdr:nvPicPr>
      <xdr:blipFill>
        <a:blip r:embed="rId263" r:link="rId2"/>
        <a:stretch>
          <a:fillRect/>
        </a:stretch>
      </xdr:blipFill>
      <xdr:spPr>
        <a:xfrm>
          <a:off x="1163320" y="14478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" name="ID_B1AF27D69EFC45A7AFD3F8470C2DF902" descr="飞飞Lf头像"/>
        <xdr:cNvPicPr>
          <a:picLocks noChangeAspect="1"/>
        </xdr:cNvPicPr>
      </xdr:nvPicPr>
      <xdr:blipFill>
        <a:blip r:embed="rId264" r:link="rId2"/>
        <a:stretch>
          <a:fillRect/>
        </a:stretch>
      </xdr:blipFill>
      <xdr:spPr>
        <a:xfrm>
          <a:off x="352425" y="1714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6" name="ID_98EF0EE3BD0548999CE698DFD5904591" descr="大碗姐头像"/>
        <xdr:cNvPicPr>
          <a:picLocks noChangeAspect="1"/>
        </xdr:cNvPicPr>
      </xdr:nvPicPr>
      <xdr:blipFill>
        <a:blip r:embed="rId265" r:link="rId2"/>
        <a:stretch>
          <a:fillRect/>
        </a:stretch>
      </xdr:blipFill>
      <xdr:spPr>
        <a:xfrm>
          <a:off x="934720" y="5715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7" name="ID_E4D182802A47458298E6F0461565D148" descr="麦小兜头像"/>
        <xdr:cNvPicPr>
          <a:picLocks noChangeAspect="1"/>
        </xdr:cNvPicPr>
      </xdr:nvPicPr>
      <xdr:blipFill>
        <a:blip r:embed="rId266" r:link="rId2"/>
        <a:stretch>
          <a:fillRect/>
        </a:stretch>
      </xdr:blipFill>
      <xdr:spPr>
        <a:xfrm>
          <a:off x="934720" y="36512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8" name="ID_4803E5F9424443B5967CDA7C33CD5D67" descr="杨和苏KeyNG头像"/>
        <xdr:cNvPicPr>
          <a:picLocks noChangeAspect="1"/>
        </xdr:cNvPicPr>
      </xdr:nvPicPr>
      <xdr:blipFill>
        <a:blip r:embed="rId267" r:link="rId2"/>
        <a:stretch>
          <a:fillRect/>
        </a:stretch>
      </xdr:blipFill>
      <xdr:spPr>
        <a:xfrm>
          <a:off x="934720" y="47307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9" name="ID_654CE2074224454884D7C4F04A1DB808"/>
        <xdr:cNvPicPr>
          <a:picLocks noChangeAspect="1"/>
        </xdr:cNvPicPr>
      </xdr:nvPicPr>
      <xdr:blipFill>
        <a:blip r:embed="rId268" r:link="rId2"/>
        <a:stretch>
          <a:fillRect/>
        </a:stretch>
      </xdr:blipFill>
      <xdr:spPr>
        <a:xfrm>
          <a:off x="1371600" y="1587500"/>
          <a:ext cx="5143500" cy="5143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0" name="ID_13B7E4DB04D24FA7B0DCF78C29F469A4"/>
        <xdr:cNvPicPr>
          <a:picLocks noChangeAspect="1"/>
        </xdr:cNvPicPr>
      </xdr:nvPicPr>
      <xdr:blipFill>
        <a:blip r:embed="rId269" r:link="rId2"/>
        <a:stretch>
          <a:fillRect/>
        </a:stretch>
      </xdr:blipFill>
      <xdr:spPr>
        <a:xfrm>
          <a:off x="1266825" y="3810000"/>
          <a:ext cx="9744075" cy="97440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1" name="ID_31BDFBC9D72246ECAA6021AAAD17785C"/>
        <xdr:cNvPicPr>
          <a:picLocks noChangeAspect="1"/>
        </xdr:cNvPicPr>
      </xdr:nvPicPr>
      <xdr:blipFill>
        <a:blip r:embed="rId270" r:link="rId2"/>
        <a:stretch>
          <a:fillRect/>
        </a:stretch>
      </xdr:blipFill>
      <xdr:spPr>
        <a:xfrm>
          <a:off x="1371600" y="26035000"/>
          <a:ext cx="5143500" cy="5143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2" name="ID_50033B3D41304000BA5BCCBE8CDA6F9D" descr="小雪日记（初夏版）头像"/>
        <xdr:cNvPicPr>
          <a:picLocks noChangeAspect="1"/>
        </xdr:cNvPicPr>
      </xdr:nvPicPr>
      <xdr:blipFill>
        <a:blip r:embed="rId271" r:link="rId2"/>
        <a:stretch>
          <a:fillRect/>
        </a:stretch>
      </xdr:blipFill>
      <xdr:spPr>
        <a:xfrm>
          <a:off x="934720" y="5784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3" name="ID_69E202A6E64443E18D891E2F38072FBA" descr="朱朱朱头像"/>
        <xdr:cNvPicPr>
          <a:picLocks noChangeAspect="1"/>
        </xdr:cNvPicPr>
      </xdr:nvPicPr>
      <xdr:blipFill>
        <a:blip r:embed="rId272" r:link="rId2"/>
        <a:stretch>
          <a:fillRect/>
        </a:stretch>
      </xdr:blipFill>
      <xdr:spPr>
        <a:xfrm>
          <a:off x="352425" y="2159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" name="ID_BF520B8C00DB4018AAF498954CEEB6E7"/>
        <xdr:cNvPicPr>
          <a:picLocks noChangeAspect="1"/>
        </xdr:cNvPicPr>
      </xdr:nvPicPr>
      <xdr:blipFill>
        <a:blip r:embed="rId273"/>
        <a:stretch>
          <a:fillRect/>
        </a:stretch>
      </xdr:blipFill>
      <xdr:spPr>
        <a:xfrm>
          <a:off x="1285240" y="14986000"/>
          <a:ext cx="7124700" cy="712470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44" name="ID_8C6F193896D843C881772146799090C3" descr="洛丽塔大哥lolita头像"/>
        <xdr:cNvPicPr>
          <a:picLocks noChangeAspect="1"/>
        </xdr:cNvPicPr>
      </xdr:nvPicPr>
      <xdr:blipFill>
        <a:blip r:embed="rId274" r:link="rId2"/>
        <a:stretch>
          <a:fillRect/>
        </a:stretch>
      </xdr:blipFill>
      <xdr:spPr>
        <a:xfrm>
          <a:off x="934720" y="4445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5" name="ID_C588A171468F4F38BE11E95099D43DD2" descr="大佬甜Giovanna头像"/>
        <xdr:cNvPicPr>
          <a:picLocks noChangeAspect="1"/>
        </xdr:cNvPicPr>
      </xdr:nvPicPr>
      <xdr:blipFill>
        <a:blip r:embed="rId275" r:link="rId2"/>
        <a:stretch>
          <a:fillRect/>
        </a:stretch>
      </xdr:blipFill>
      <xdr:spPr>
        <a:xfrm>
          <a:off x="934720" y="2419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1" name="ID_C180EAF4349344B8B47021073FD519F3"/>
        <xdr:cNvPicPr>
          <a:picLocks noChangeAspect="1"/>
        </xdr:cNvPicPr>
      </xdr:nvPicPr>
      <xdr:blipFill>
        <a:blip r:embed="rId276" r:link="rId2"/>
        <a:stretch>
          <a:fillRect/>
        </a:stretch>
      </xdr:blipFill>
      <xdr:spPr>
        <a:xfrm>
          <a:off x="1371600" y="2095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7" name="ID_3EFA03DEBF684E7F86AE1EA29167FEEF" descr="丹妮不是小猪头像"/>
        <xdr:cNvPicPr>
          <a:picLocks noChangeAspect="1"/>
        </xdr:cNvPicPr>
      </xdr:nvPicPr>
      <xdr:blipFill>
        <a:blip r:embed="rId277" r:link="rId2"/>
        <a:stretch>
          <a:fillRect/>
        </a:stretch>
      </xdr:blipFill>
      <xdr:spPr>
        <a:xfrm>
          <a:off x="934720" y="2990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1" name="ID_FEB94C407785406D8B9A5BFEF8C1C7F2" descr="皮卡白头像"/>
        <xdr:cNvPicPr>
          <a:picLocks noChangeAspect="1"/>
        </xdr:cNvPicPr>
      </xdr:nvPicPr>
      <xdr:blipFill>
        <a:blip r:embed="rId278" r:link="rId2"/>
        <a:stretch>
          <a:fillRect/>
        </a:stretch>
      </xdr:blipFill>
      <xdr:spPr>
        <a:xfrm>
          <a:off x="953770" y="1401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6" name="ID_CD46B8401C7948BCBF2D9AF24FC3DD04"/>
        <xdr:cNvPicPr>
          <a:picLocks noChangeAspect="1"/>
        </xdr:cNvPicPr>
      </xdr:nvPicPr>
      <xdr:blipFill>
        <a:blip r:embed="rId279" r:link="rId2"/>
        <a:stretch>
          <a:fillRect/>
        </a:stretch>
      </xdr:blipFill>
      <xdr:spPr>
        <a:xfrm>
          <a:off x="352425" y="12827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5" name="ID_E3BD1E96CA0D4B378BED86B334AF6563" descr="李在溪·7BOY头像"/>
        <xdr:cNvPicPr>
          <a:picLocks noChangeAspect="1"/>
        </xdr:cNvPicPr>
      </xdr:nvPicPr>
      <xdr:blipFill>
        <a:blip r:embed="rId280" r:link="rId2"/>
        <a:stretch>
          <a:fillRect/>
        </a:stretch>
      </xdr:blipFill>
      <xdr:spPr>
        <a:xfrm>
          <a:off x="352425" y="2038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2" name="ID_09F1C858463649068DA213FFACF66789"/>
        <xdr:cNvPicPr>
          <a:picLocks noChangeAspect="1"/>
        </xdr:cNvPicPr>
      </xdr:nvPicPr>
      <xdr:blipFill>
        <a:blip r:embed="rId281" r:link="rId2"/>
        <a:stretch>
          <a:fillRect/>
        </a:stretch>
      </xdr:blipFill>
      <xdr:spPr>
        <a:xfrm>
          <a:off x="934720" y="13716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0" name="ID_F3D609DB18DE48E19583BF68B0478DBD"/>
        <xdr:cNvPicPr>
          <a:picLocks noChangeAspect="1"/>
        </xdr:cNvPicPr>
      </xdr:nvPicPr>
      <xdr:blipFill>
        <a:blip r:embed="rId282" r:link="rId2"/>
        <a:stretch>
          <a:fillRect/>
        </a:stretch>
      </xdr:blipFill>
      <xdr:spPr>
        <a:xfrm>
          <a:off x="934720" y="14986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" name="ID_C8BADE3D4A3546AB8BBD2F2D95EF573B" descr="鑫子头像"/>
        <xdr:cNvPicPr>
          <a:picLocks noChangeAspect="1"/>
        </xdr:cNvPicPr>
      </xdr:nvPicPr>
      <xdr:blipFill>
        <a:blip r:embed="rId283" r:link="rId2"/>
        <a:stretch>
          <a:fillRect/>
        </a:stretch>
      </xdr:blipFill>
      <xdr:spPr>
        <a:xfrm>
          <a:off x="934720" y="2260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0" name="ID_4E9F617A8651445EA946708BFC1A02BF" descr="一航头像"/>
        <xdr:cNvPicPr>
          <a:picLocks noChangeAspect="1"/>
        </xdr:cNvPicPr>
      </xdr:nvPicPr>
      <xdr:blipFill>
        <a:blip r:embed="rId284" r:link="rId2"/>
        <a:stretch>
          <a:fillRect/>
        </a:stretch>
      </xdr:blipFill>
      <xdr:spPr>
        <a:xfrm>
          <a:off x="934720" y="3181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1" name="ID_5C07DC249D664D0DAC4CBF35D4432619" descr="TK科技测评头像"/>
        <xdr:cNvPicPr>
          <a:picLocks noChangeAspect="1"/>
        </xdr:cNvPicPr>
      </xdr:nvPicPr>
      <xdr:blipFill>
        <a:blip r:embed="rId285" r:link="rId2"/>
        <a:stretch>
          <a:fillRect/>
        </a:stretch>
      </xdr:blipFill>
      <xdr:spPr>
        <a:xfrm>
          <a:off x="1163320" y="889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8" name="ID_3BDCE9C73163449FA640B821CC7AD18E" descr="TK玩数码头像"/>
        <xdr:cNvPicPr>
          <a:picLocks noChangeAspect="1"/>
        </xdr:cNvPicPr>
      </xdr:nvPicPr>
      <xdr:blipFill>
        <a:blip r:embed="rId286" r:link="rId2"/>
        <a:stretch>
          <a:fillRect/>
        </a:stretch>
      </xdr:blipFill>
      <xdr:spPr>
        <a:xfrm>
          <a:off x="1163320" y="1244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3" name="ID_70F1F0FFC48B4E6CBAAB57AAD6082D8C" descr="vv头像"/>
        <xdr:cNvPicPr>
          <a:picLocks noChangeAspect="1"/>
        </xdr:cNvPicPr>
      </xdr:nvPicPr>
      <xdr:blipFill>
        <a:blip r:embed="rId287" r:link="rId2"/>
        <a:stretch>
          <a:fillRect/>
        </a:stretch>
      </xdr:blipFill>
      <xdr:spPr>
        <a:xfrm>
          <a:off x="934720" y="3054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0" name="ID_9313BA33A13741C3997400D039C6FB0D" descr="博仔i头像"/>
        <xdr:cNvPicPr>
          <a:picLocks noChangeAspect="1"/>
        </xdr:cNvPicPr>
      </xdr:nvPicPr>
      <xdr:blipFill>
        <a:blip r:embed="rId288" r:link="rId2"/>
        <a:stretch>
          <a:fillRect/>
        </a:stretch>
      </xdr:blipFill>
      <xdr:spPr>
        <a:xfrm>
          <a:off x="934720" y="990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1" name="ID_AEEC780DC1CA46EAAD088BBC47F54980" descr="一醒头像"/>
        <xdr:cNvPicPr>
          <a:picLocks noChangeAspect="1"/>
        </xdr:cNvPicPr>
      </xdr:nvPicPr>
      <xdr:blipFill>
        <a:blip r:embed="rId289" r:link="rId2"/>
        <a:stretch>
          <a:fillRect/>
        </a:stretch>
      </xdr:blipFill>
      <xdr:spPr>
        <a:xfrm>
          <a:off x="934720" y="3181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9" name="ID_0DC8C4949D3E409B87AEA9AB3791B26D" descr="Sheep羊崽头像"/>
        <xdr:cNvPicPr>
          <a:picLocks noChangeAspect="1"/>
        </xdr:cNvPicPr>
      </xdr:nvPicPr>
      <xdr:blipFill>
        <a:blip r:embed="rId290" r:link="rId2"/>
        <a:stretch>
          <a:fillRect/>
        </a:stretch>
      </xdr:blipFill>
      <xdr:spPr>
        <a:xfrm>
          <a:off x="1163320" y="2794000"/>
          <a:ext cx="2857500" cy="2857500"/>
        </a:xfrm>
        <a:prstGeom prst="ellipse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<sst xmlns="http://schemas.openxmlformats.org/spreadsheetml/2006/main" count="2830" uniqueCount="1901">
  <si>
    <t>成都OST传媒——2025年10月刊例</t>
  </si>
  <si>
    <t>报价会根据市场状况以及达人热度有所浮动，请及时与我们联系确认最新价格
最终报价的解释权归成都潮我看文化传媒有限公司所有
商务合作微信：OSTSW009（欢迎来撩）</t>
  </si>
  <si>
    <t>合 作 流 程</t>
  </si>
  <si>
    <t>1. 合作前沟通，确定产品类型、合作账号、视频要求、发布时间等问题；
2. 客户在星图下单（https://star.toutiao.com）；
3. 我方在星图接单；
4. 脚本撰写（至多三次修改权限)，脚本一经确认不接受补拍；
5. 视频摄像及后期剪辑；
6. 样片确认(至多三次修改权限)；
7. 确认发布时间，视频上线；
8. 二次授权细节详谈；
9. 购物车链接：具体项目具体报价。可提供销量数据，不保证链接保留时长。</t>
  </si>
  <si>
    <t>合 作 说 明</t>
  </si>
  <si>
    <t>1. 请以当月刊例价格为准，此表仅作参考，请合作前询价，以根据活动内容确认最终执行价。
2. 微商、医美整形、三无产品等推广不接。
3. 我们承包：优质脚本内容创作、拍摄、制作、后期、IP发布、流量监控。
4. 线下活动报价不含差旅费，如有出差需求，则需承担相关人员差旅费。
5. 具体打包合作可详谈（如多平台打包、单平台+活动出席打包等。）
6. 星图报价均不含星图服务费，星图服务费为5%
7. 所订价格均不含税，具体税点，提前咨询。
8. 所有订单创作的原创内容版权均属我司所有；如无我司授权，擅自发布于其他平台，我司将追究其法律责任。</t>
  </si>
  <si>
    <t>【OST传媒】抖音达人报价</t>
  </si>
  <si>
    <t>序号</t>
  </si>
  <si>
    <t>推荐度</t>
  </si>
  <si>
    <t>头像</t>
  </si>
  <si>
    <t>达人名称</t>
  </si>
  <si>
    <t>推荐理由</t>
  </si>
  <si>
    <t>达人ID</t>
  </si>
  <si>
    <t>账号标签</t>
  </si>
  <si>
    <t>抖音主页链接</t>
  </si>
  <si>
    <t>星图主页链接</t>
  </si>
  <si>
    <t>星图ID</t>
  </si>
  <si>
    <t>粉丝量</t>
  </si>
  <si>
    <t>CPM</t>
  </si>
  <si>
    <t>CPE</t>
  </si>
  <si>
    <t>星图价格
（1-20s）</t>
  </si>
  <si>
    <t>星图价格
（21-60s）</t>
  </si>
  <si>
    <t>星图价格
（60s+）</t>
  </si>
  <si>
    <t>短直一体</t>
  </si>
  <si>
    <t>分发平台</t>
  </si>
  <si>
    <t>线上直播
(1h以内)</t>
  </si>
  <si>
    <t>观众男女占比</t>
  </si>
  <si>
    <t>观众年龄前三占比</t>
  </si>
  <si>
    <t>观众八大人群</t>
  </si>
  <si>
    <t>合作品牌</t>
  </si>
  <si>
    <t>地区</t>
  </si>
  <si>
    <t>【明星/音乐】</t>
  </si>
  <si>
    <t>明星
歌手</t>
  </si>
  <si>
    <t>杨和苏KeyNG</t>
  </si>
  <si>
    <t>毕业于美国加州大学洛杉矶分校，中国内地硬核说唱领域的代表人物之一。2019年以极具爆发力的现场表现斩获《中国新说唱》总冠军。其作品兼具叙事深度与硬核冲击力，《王位》《小丑女》《大反派》等曲目广受说唱爱好者喜爱，展现了强劲的创作与舞台实力。作为兼具学术背景与音乐才华的全能型歌手，以独特的Flow和深刻的歌词内容，持续推动中文说唱的创新与突破。</t>
  </si>
  <si>
    <t>日常、音乐</t>
  </si>
  <si>
    <t>https://v.douyin.com/em3sFvS6LMA/</t>
  </si>
  <si>
    <t>https://www.xingtu.cn/ad/creator/author-homepage/douyin-video/6870112225344880653?market_track_id=MR61YKQACBEHR44TKR7E&amp;search_session_id=7533159252346241078&amp;possessStarId</t>
  </si>
  <si>
    <t>6870112225344880653</t>
  </si>
  <si>
    <t>/</t>
  </si>
  <si>
    <t>男：61.3%
女：38.7%</t>
  </si>
  <si>
    <t>18-23：56%
24-30：28.9%
31-40：9.5%</t>
  </si>
  <si>
    <t>Z世代：43.3%
新锐白领：18.5%
小镇青年：21.1%
精致妈妈：2%
资深中产：1.1%
都市蓝领：12.3%
小镇中老年：0.9%
都市银发：0.8%</t>
  </si>
  <si>
    <t>成都</t>
  </si>
  <si>
    <t>客户
必选</t>
  </si>
  <si>
    <t>大碗姐</t>
  </si>
  <si>
    <t>凭借对说唱的兴趣，在整理家务等场合结合自己独特的唱歌方式引起粉丝的关注。作品既可以结合社会生活的素材独创，也可以对其他歌曲进行翻唱改编。可以多场景植入各类产品。</t>
  </si>
  <si>
    <t>音乐、日常</t>
  </si>
  <si>
    <t>https://v.douyin.com/Y_T6k4YZ1jA/</t>
  </si>
  <si>
    <t>https://www.xingtu.cn/ad/creator/author-homepage/douyin-video/7212165981076979770?market_track_id=C1YWJOJOH7GWYM2BJIBX&amp;search_session_id=7532374389598191658&amp;possessStarId</t>
  </si>
  <si>
    <t>7212165981076979770</t>
  </si>
  <si>
    <t>B站 快手 视频号</t>
  </si>
  <si>
    <t>男 ：11.6%
女 ：88.4%</t>
  </si>
  <si>
    <t>18-23：37.1%
24-30：45%
31-40：14.8%</t>
  </si>
  <si>
    <t>Z世代：20.2%
新锐白领：14.1%
小镇青年：26.6%
精致妈妈：16%
资深中产：1.1%
都市蓝领：19.9%
小镇中老年：1.1%
都市银发：1%</t>
  </si>
  <si>
    <t>京东超市、广汽埃安、劲仔</t>
  </si>
  <si>
    <t>明星
爱豆</t>
  </si>
  <si>
    <t>徐十七嘛</t>
  </si>
  <si>
    <t>原 SNH48 成员徐诗琪，坐拥超 200 万粉丝。因 cos 阿卡丽走红，兼具颜值与才艺。内容涵盖生活分享、COSPLAY，影响力大</t>
  </si>
  <si>
    <t>日常、颜值</t>
  </si>
  <si>
    <t>https://v.douyin.com/_lMUnKhZ_vE/</t>
  </si>
  <si>
    <t>https://www.xingtu.cn/ad/creator/author-homepage/douyin-video/6834011991800021005?market_track_id=SR3ZC29RTTZ0ZEBUVE23&amp;search_session_id=7506425026557263911&amp;video_type=2&amp;_route_from=from_page%3DMarket%26search_session_id%3D7506425026557263911%26is_for_order%3D1%26market_track_id%3DSR3ZC29RTTZ0ZEBUVE23%26platform_source%3D1%26key%3D%25E5%25BE%2590%25E5%258D%2581%25E4%25B8%2583%25E5%2598%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</si>
  <si>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6834011991800021005</t>
  </si>
  <si>
    <t>男：74.3%
女：25.7%</t>
  </si>
  <si>
    <t>18-23：37.7%
24-30：22.1%
31-40：16.4%</t>
  </si>
  <si>
    <t>Z世代：32.3%
新锐白领：11.5%
小镇青年：23%
精致妈妈：0.5%
资深中产：1.7%
都市蓝领：14.5%
小镇中老年：7.7%
都市银发：8.7%</t>
  </si>
  <si>
    <t>茶π、劲酒、优酸乳、美团、阿维塔、马爹利、华为</t>
  </si>
  <si>
    <t>【非遗/创意】</t>
  </si>
  <si>
    <t>朱铁雄</t>
  </si>
  <si>
    <t>以“国风魔法少年”定位破圈，通过高燃特效将武术、戏曲等非遗元素与现代科技结合，打造沉浸式变装体验。受众以年轻的Z世代为主，强视觉冲击力可提升品牌形象。</t>
  </si>
  <si>
    <t>TVC 剧情 特效 变装</t>
  </si>
  <si>
    <t>https://v.douyin.com/N59HuqG/</t>
  </si>
  <si>
    <t>https://www.xingtu.cn/ad/creator/author-homepage/douyin-video/7078614603908317197?market_track_id=1YSRQNKR4S0KIKU5Y91R&amp;search_session_id=7506416249376358439&amp;video_type=2&amp;_route_from=from_page%3DMarket%26search_session_id%3D7506416249376358439%26is_for_order%3D1%26market_track_id%3D1YSRQNKR4S0KIKU5Y91R%26platform_source%3D1%26key%3D%25E6%259C%25B1%25E9%2593%2581%25E9%259B%2584%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</si>
  <si>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7078614603908317197</t>
  </si>
  <si>
    <t>500000（加收）</t>
  </si>
  <si>
    <t>视频号分发：40w       快手分发：40w         B站分发：40w         小红书分发：20W</t>
  </si>
  <si>
    <t>男：53.8%
女：46.2%</t>
  </si>
  <si>
    <t>18-23：26.4%
24-30：29.4%
31-40：28.5%</t>
  </si>
  <si>
    <t>Z世代：22.7%
新锐白领：13.5%
小镇青年：25.7%
精致妈妈：4.9%
资深中产：2.5%
都市蓝领：19.5%
小镇中老年：5.7%
都市银发：5.5%</t>
  </si>
  <si>
    <t>五菱，IQOO，方太、梦幻西游、小米、伊利、三国杀、OPPO、铜师傅、荣耀、智己</t>
  </si>
  <si>
    <t>【剧情】</t>
  </si>
  <si>
    <t>彦儿</t>
  </si>
  <si>
    <t>短剧单集播放破亿，以大女主逆袭剧情精准触达25-35岁女性。深度种草逻辑：通过职场歧视、婚姻危机等冲突场景，自然植入护肤品（逆袭妆容）、家电（独立生活必备）、快消品等多品类，用户主动求链接比例达12%。</t>
  </si>
  <si>
    <t>XL957</t>
  </si>
  <si>
    <t>闺蜜剧情 情侣剧情</t>
  </si>
  <si>
    <t>https://v.douyin.com/EngtHX/</t>
  </si>
  <si>
    <t>https://www.xingtu.cn/ad/creator/author-homepage/douyin-video/6701875533669466123?market_track_id=Y0AJ09JJPQMI0X9YE9AH&amp;search_session_id=7506416770640199721&amp;video_type=2&amp;_route_from=from_page%3DMarket%26search_session_id%3D7506416770640199721%26is_for_order%3D1%26market_track_id%3DY0AJ09JJPQMI0X9YE9AH%26platform_source%3D1%26key%3D%25E5%25BD%25A6%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</si>
  <si>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6701875533669466123</t>
  </si>
  <si>
    <t>视频号 微博</t>
  </si>
  <si>
    <t>女 ：84.9%  
男 ：15.1%</t>
  </si>
  <si>
    <t>18-23：48.3%
24-30：24.2%
31-40：15.7%</t>
  </si>
  <si>
    <t>Z世代：40.1%
新锐白领：8.8%
小镇青年：27%
精致妈妈：3.6%
资深中产：1.6%
都市蓝领：13.1%
小镇中老年：3.3%
都市银发：2.6%</t>
  </si>
  <si>
    <t>YSL、TF、飞利浦、雅诗兰黛、百力滋、迪奥、华为、MAC、卡姿兰、七度空间、奔腾、零跑、岚图</t>
  </si>
  <si>
    <t>加菲菡z</t>
  </si>
  <si>
    <t>定制短剧《糟糕！我被神兽盯上了》单集播放量破8000w，登陆抖音短剧TOP4，剧情强冲突设计（豪门商战/校园逆袭）天然适配品牌植入，用户追剧式追广告，完播率高达8.2%。深度覆盖职场白领、校园Z世代、高净值家庭三类人群，</t>
  </si>
  <si>
    <t>self1998</t>
  </si>
  <si>
    <t>https://v.douyin.com/JCK38Tm/</t>
  </si>
  <si>
    <t>https://www.xingtu.cn/ad/creator/author-homepage/douyin-video/6901242939247181837?market_track_id=3NJRXSI18EDC89GFPWSA&amp;search_session_id=7506417328482517003&amp;video_type=2&amp;_route_from=from_page%3DMarket%26search_session_id%3D7506417328482517003%26is_for_order%3D1%26market_track_id%3D3NJRXSI18EDC89GFPWSA%26platform_source%3D1%26key%3D%25E5%258A%25A0%25E8%258F%25B2%25E8%258F%25A1z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</si>
  <si>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6901242939247181837</t>
  </si>
  <si>
    <t>男：10.8%
女：89.2%</t>
  </si>
  <si>
    <t>18-23：38.5%
24-30：30.9%
31-40：25.1%</t>
  </si>
  <si>
    <t>Z世代：29.3%
新锐白领：10.8%
小镇青年：30.6%
精致妈妈：8.3%
资深中产：1.9%
都市蓝领：15.8%
小镇中老年：2.3%
都市银发：1%</t>
  </si>
  <si>
    <t>SK2、OLAY、HBN、妮维雅、飞科、雅诗兰黛、珀莱雅、安慕希、徕芬、立白、祖玛珑、比亚迪、smart</t>
  </si>
  <si>
    <t>无糖奶茶</t>
  </si>
  <si>
    <t>爆款短剧制造机，擅长用“豪门恩怨”“校园甜虐”等强冲突剧情提升完播率。可绑定品牌打造系列IP（如《XX品牌之恋》），在豪门宴会、职场社交等场景中植入奢侈品、汽车、家居产品，利用剧情反转强化产品高端属性。</t>
  </si>
  <si>
    <t>wutangnaicha23</t>
  </si>
  <si>
    <t>情侣剧情</t>
  </si>
  <si>
    <t>https://v.douyin.com/FSgqeNj/</t>
  </si>
  <si>
    <t>https://www.xingtu.cn/ad/creator/author-homepage/douyin-video/7088976987129118750?market_track_id=PKJYMCMSCNCDLLT2NLC8&amp;search_session_id=7506417544229322771&amp;video_type=2&amp;_route_from=from_page%3DMarket%26search_session_id%3D7506417544229322771%26is_for_order%3D1%26market_track_id%3DPKJYMCMSCNCDLLT2NLC8%26platform_source%3D1%26key%3D%25E6%2597%25A0%25E7%25B3%2596%25E5%25A5%25B6%25E8%258C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</si>
  <si>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7088976987129118750</t>
  </si>
  <si>
    <t>男：11.3%
女：88.7%</t>
  </si>
  <si>
    <t>18-23：41.5%
24-30：27.3%
31-40：23%</t>
  </si>
  <si>
    <t>Z世代：34.5%
新锐白领：12%
小镇青年：24.2%
精致妈妈：8.9%
资深中产：2.3%
都市蓝领：13.3%
小镇中老年：2.5%
都市银发：2.1%</t>
  </si>
  <si>
    <t>Dior、YSL、科颜氏、自然堂、祖玛珑、追觅、徕芬、康师傅 、吉列、沪上阿姨、敷尔佳、韩束、珀莱雅、雪佛兰</t>
  </si>
  <si>
    <t>周三拾</t>
  </si>
  <si>
    <t>以“破防朋友”系列直击男性情感痛点，单视频互动率超5%。适合汽车、3C数码、酒、服饰、快消品等多品类，通过“兄弟开黑翻车→借产品化解尴尬”等真实场景，传递“产品即社交解决方案”的价值观。</t>
  </si>
  <si>
    <t>zhousanshi0818</t>
  </si>
  <si>
    <t>剧情、汽车、游戏</t>
  </si>
  <si>
    <t>https://v.douyin.com/jcNeW61/</t>
  </si>
  <si>
    <t>https://www.xingtu.cn/ad/creator/author-homepage/douyin-video/6969058840033624100?market_track_id=HO4R075KN87AMKT91EZI&amp;search_session_id=7506417746180341771&amp;video_type=2&amp;_route_from=from_page%3DMarket%26search_session_id%3D7506417746180341771%26is_for_order%3D1%26market_track_id%3DHO4R075KN87AMKT91EZI%26platform_source%3D1%26key%3D%25E5%2591%25A8%25E4%25B8%2589%25E6%258B%25B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</si>
  <si>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6969058840033624100</t>
  </si>
  <si>
    <t>视频号</t>
  </si>
  <si>
    <t>女 ：27.3%  
男 ：72.7%</t>
  </si>
  <si>
    <t>18-23：55.6%
24-30：25.7%
31-40：11.3%</t>
  </si>
  <si>
    <t>Z世代：42.6%
新锐白领：12.8%
小镇青年：24.8%
精致妈妈：0.8%
资深中产：0.9%
都市蓝领：14.5%
小镇中老年：1.8%
都市银发：1.8%</t>
  </si>
  <si>
    <t>华为、阿维塔、三九、松下、新倩女幽魂、施华寇、7喜、纯果乐、美团、吉列、RIO、SKII、OPPO、问界、零跑</t>
  </si>
  <si>
    <t>大黄h</t>
  </si>
  <si>
    <t>该达人为剧情赛道博主，短剧：亚特兰蒂斯追妻记，播出一周后，位居品牌短剧热榜第一名；职场/校园/生活场景为主，视频质感高质量产出，达人&amp;团队配合度非常高</t>
  </si>
  <si>
    <t>https://v.douyin.com/eCcKy1K/</t>
  </si>
  <si>
    <t>https://www.xingtu.cn/ad/creator/author-homepage/douyin-video/6972449205344272397?market_track_id=12F1X1FVTARAS8ZLYBSV&amp;search_session_id=7506417675443978303&amp;video_type=2&amp;_route_from=from_page%3DMarket%26search_session_id%3D7506417675443978303%26is_for_order%3D1%26market_track_id%3D12F1X1FVTARAS8ZLYBSV%26platform_source%3D1%26key%3D%25E5%25A4%25A7%25E9%25BB%2584h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</si>
  <si>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6972449205344272397</t>
  </si>
  <si>
    <t>男：32.2%
女：67.7%</t>
  </si>
  <si>
    <t>18-23：42.1%
24-30：22.1%
31-40：23.3%</t>
  </si>
  <si>
    <t>Z世代：34%
新锐白领：8.5%
小镇青年：30%
精致妈妈：2.9%
资深中产：2.2%
都市蓝领：15.4%
小镇中老年：4.3%
都市银发：2.8%</t>
  </si>
  <si>
    <t>欧莱雅、阿维塔、深蓝、追觅、趣多多、麦当劳、君乐宝、安慕希、华为、松下、天猫、海尔、支付宝、兰蔻</t>
  </si>
  <si>
    <t>客户
青睐</t>
  </si>
  <si>
    <t>婵婵说</t>
  </si>
  <si>
    <t>剧情内容以揭露人性、女性安全为主，高品质女性向内容是优势；重度粉丝高达75%，女粉比例高达70.3%，18岁以上粉丝占比高达95%；适合全品类植入，日常较多接单品类有：电器、日化、护肤品等；达人配合度高，可口播；</t>
  </si>
  <si>
    <t>yishijie6666</t>
  </si>
  <si>
    <t>剧情、女性</t>
  </si>
  <si>
    <t>https://v.douyin.com/ijAbtYL4/</t>
  </si>
  <si>
    <t>https://www.xingtu.cn/ad/creator/author-homepage/douyin-video/6870159698314657800?market_track_id=M6JS4GY2JCQA979V3KAD&amp;search_session_id=7506417872022290443&amp;video_type=2&amp;_route_from=from_page%3DMarket%26search_session_id%3D7506417872022290443%26is_for_order%3D1%26market_track_id%3DM6JS4GY2JCQA979V3KAD%26platform_source%3D1%26key%3D%25E5%25A9%25B5%25E5%25A9%25B5%25E8%25AF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</si>
  <si>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6870159698314657800</t>
  </si>
  <si>
    <t>男：36.5%
女：63.5%</t>
  </si>
  <si>
    <t>18-23：37.2%
24-30：23.4%
31-40：24.7%</t>
  </si>
  <si>
    <t>Z世代：31.1%
新锐白领：6.5%
小镇青年：29.2%
精致妈妈：3.3%
资深中产：1.6%
都市蓝领：19.1%
小镇中老年：4.6%
都市银发：4.7%</t>
  </si>
  <si>
    <t>得物、DR、美的、海尔、支付宝、淘淘氧棉、Ulike、高洁丝</t>
  </si>
  <si>
    <t>青岛</t>
  </si>
  <si>
    <t>靖雅欧巴</t>
  </si>
  <si>
    <t>情感向体验式内容，第一视角感受情绪和共鸣，植入场景多、空间大；剧情、短剧承制经验丰富，男粉占比65%；适合汽车、3c数码、游戏类品牌植入</t>
  </si>
  <si>
    <t>176679X</t>
  </si>
  <si>
    <t>剧情、情侣</t>
  </si>
  <si>
    <t>https://v.douyin.com/BcRnESq/</t>
  </si>
  <si>
    <t>https://www.xingtu.cn/ad/creator/author-homepage/douyin-video/6862212139365433351?market_track_id=JXOUKGOXRY4JAFGRHUQG&amp;search_session_id=7506418242886713356&amp;video_type=2&amp;_route_from=from_page%3DMarket%26search_session_id%3D7506418242886713356%26is_for_order%3D1%26market_track_id%3DJXOUKGOXRY4JAFGRHUQG%26platform_source%3D1%26key%3D%25E9%259D%2596%25E9%259B%2585%25E6%25AC%25A7%25E5%25B7%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</si>
  <si>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6862212139365433351</t>
  </si>
  <si>
    <t>男：42.5%
女：57.5%</t>
  </si>
  <si>
    <t>18-23：42.9%
24-30：28%
31-40：18.5%</t>
  </si>
  <si>
    <t>Z世代：31.8%
新锐白领：11.7%
小镇青年：25.7%
精致妈妈：4.7%
资深中产：1.7%
都市蓝领：17.6%
小镇中老年：3.5%
都市银发：3.2%</t>
  </si>
  <si>
    <t>olay 、唯品会、自然堂、君乐宝、外星人饮料、红米、欧莱雅、索尼、舒莱、别克</t>
  </si>
  <si>
    <t>飞飞Lf</t>
  </si>
  <si>
    <t>作品聚焦青春情感与生活日常，演技细腻，剧情自带“爆款基因”，多次斩获百万点赞。依托高完播率与强情感共鸣，星图广告可实现品牌理念深度渗透，是年轻化营销的优选伙伴。</t>
  </si>
  <si>
    <t>nianxiang1105</t>
  </si>
  <si>
    <t>剧情、生活</t>
  </si>
  <si>
    <t>https://v.douyin.com/FmolR1KJook/</t>
  </si>
  <si>
    <t>https://www.xingtu.cn/ad/creator/author-homepage/douyin-video/6859218264526962702?market_track_id=ESWOJZ4LL2IDD4QEYDFT&amp;search_session_id=7550213757390864438&amp;possessStarId</t>
  </si>
  <si>
    <t>6859218264526962702</t>
  </si>
  <si>
    <t>男：35.1%
女：64.9%</t>
  </si>
  <si>
    <t>18-23：49.9%
24-30：22.2%
31-40：19.4%</t>
  </si>
  <si>
    <t>Z世代：35.3%
新锐白领：13.8%
小镇青年：25%
精致妈妈：2.7%
资深中产：3.2%
都市蓝领：15.2%
小镇中老年：3.1%
都市银发：1.7%</t>
  </si>
  <si>
    <t>六神、别克、瑞幸、波司登、</t>
  </si>
  <si>
    <t>博仔i</t>
  </si>
  <si>
    <t>聚焦青春情感与校园日常，角色塑造鲜活，爆款作品点赞破150万。依托强内容共鸣与高粉丝粘性，星图广告植入自然，已与花西子等多品牌合作，是年轻化营销优选。</t>
  </si>
  <si>
    <t>bozai981105</t>
  </si>
  <si>
    <t>https://v.douyin.com/eXcXMuA/</t>
  </si>
  <si>
    <t>https://www.xingtu.cn/ad/creator/author-homepage/douyin-video/6977280720922214431?market_track_id=UG67XTJXH7NXPKDVOMTP&amp;search_session_id=7550213941088239658&amp;possessStarId</t>
  </si>
  <si>
    <t>6977280720922214431</t>
  </si>
  <si>
    <t>男：32%
女：68%</t>
  </si>
  <si>
    <t>18-23：45.7%
24-30：24%
31-40：18%</t>
  </si>
  <si>
    <t>Z世代：37.4%
新锐白领：10.3%
小镇青年：24.4%
精致妈妈：3.6%
资深中产：2.1%
都市蓝领：15.7%
小镇中老年：3.5%
都市银发：3.1%</t>
  </si>
  <si>
    <t>7喜、乌苏啤酒、太太乐、世友地板、娃哈哈、凌渡L、TATA木门、康师傅、起亚</t>
  </si>
  <si>
    <t>胖嘟嘟的嘟嘟</t>
  </si>
  <si>
    <t>母婴垂类头部账号，通过萌娃日常演绎“育儿痛点-产品解决”逻辑（如学习机解决辅导难题）。粉丝宝妈占比88%，产品转化率极高，适合奶粉、玩具、家居日用合作。</t>
  </si>
  <si>
    <t>xiaopangdudu</t>
  </si>
  <si>
    <t>剧情、亲子</t>
  </si>
  <si>
    <t>https://v.douyin.com/N9wSKAr/</t>
  </si>
  <si>
    <t>https://www.xingtu.cn/ad/creator/author-homepage/douyin-video/6740393506990194696?market_track_id=DRKK9SM8L3131BHUIM88&amp;search_session_id=7506417872022700043&amp;video_type=2&amp;_route_from=from_page%3DMarket%26search_session_id%3D7506417872022700043%26is_for_order%3D1%26market_track_id%3DDRKK9SM8L3131BHUIM88%26platform_source%3D1%26key%3D%25E8%2583%2596%25E5%2598%259F%25E5%2598%259F%25E7%259A%2584%25E5%2598%259F%25E5%2598%259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</si>
  <si>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6740393506990194696</t>
  </si>
  <si>
    <t>男：35.5%
女：64.5%</t>
  </si>
  <si>
    <t>18-23：9.1%
24-30：19.3%
31-40：40.1%</t>
  </si>
  <si>
    <t>Z世代：16.1%
新锐白领：9.6%
小镇青年：22.8%
精致妈妈：7.9%
资深中产：4.9%
都市蓝领：15.7%
小镇中老年：11.4%
都市银发：11.7%</t>
  </si>
  <si>
    <t>美素佳儿、完达山、爱他美、蒙牛、长安欧尚、松下、荣威、极狐、法优乐、岚图</t>
  </si>
  <si>
    <t>【创意广告】</t>
  </si>
  <si>
    <t>韦康vico</t>
  </si>
  <si>
    <t>技术流特效博主，擅长通过仿妆与场景切换实现“一人分饰多角”，广告植入自然（如口红变装衔接美妆产品）。视频完播率超15%，适合美妆品牌、快消品、游戏联名等多方面产品，可定制创意脚本，强化用户记忆点。</t>
  </si>
  <si>
    <t>ywk0921</t>
  </si>
  <si>
    <t>特效 、颜值、 变装</t>
  </si>
  <si>
    <t>https://v.douyin.com/UYCTfS6/</t>
  </si>
  <si>
    <t>https://www.xingtu.cn/ad/creator/author-homepage/douyin-video/6639507729494835203?market_track_id=S08FD099W7OEDKAWYKAC&amp;search_session_id=7506416438765666323&amp;video_type=2&amp;_route_from=from_page%3DMarket%26search_session_id%3D7506416438765666323%26is_for_order%3D1%26market_track_id%3DS08FD099W7OEDKAWYKAC%26platform_source%3D1%26key%3D%25E9%259F%25A6%25E5%25BA%25B7vico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</si>
  <si>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6639507729494835203</t>
  </si>
  <si>
    <t>男：45.2%
女：54.8%</t>
  </si>
  <si>
    <t>18-23：18.1%
31-40：29.4%
50+：30.9%</t>
  </si>
  <si>
    <t>Z世代：30.9%
新锐白领：5.6%
小镇青年：21.7%
精致妈妈：2.3%
资深中产：4.1%
都市蓝领：15.6%
小镇中老年：9.4%
都市银发：10.4%</t>
  </si>
  <si>
    <t>科颜氏、雅诗兰黛、自然堂、HBN、广汽丰田、吉利、梦幻新诛仙、安慕希</t>
  </si>
  <si>
    <t>重庆</t>
  </si>
  <si>
    <t>TVC
创意</t>
  </si>
  <si>
    <t>西瓜奇幻工厂</t>
  </si>
  <si>
    <t>专注高端品牌视觉营销，合作案例覆盖多个知名头部客户。擅长用科幻场景呈现产品核心功能（如汽车悬浮驾驶、家电未来感体验），适配汽车、家电、奢侈品等高客单价品类，提升品牌科技调性。</t>
  </si>
  <si>
    <t>bksyshow</t>
  </si>
  <si>
    <t>创意TVC</t>
  </si>
  <si>
    <t>https://v.douyin.com/iy5xpGEA/</t>
  </si>
  <si>
    <t>https://www.xingtu.cn/ad/creator/author-homepage/douyin-video/6746573383141425164?market_track_id=IQF8MKDF0SBPY8SY7L1R&amp;search_session_id=7506414821974310953&amp;video_type=2&amp;_route_from=from_page%3DMarket%26search_session_id%3D7506414821974310953%26is_for_order%3D1%26market_track_id%3DIQF8MKDF0SBPY8SY7L1R%26platform_source%3D1%26key%3D%25E8%25A5%25BF%25E7%2593%259C%25E5%25A5%2587%25E5%25B9%25BB%25E5%25B7%25A5%25E5%258E%2582%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</si>
  <si>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6746573383141425164</t>
  </si>
  <si>
    <t>男：40.1%
女：59.9%</t>
  </si>
  <si>
    <t>18-23：23.8%
24-30：19.1%
31-40：25.2%</t>
  </si>
  <si>
    <t>Z世代：31.5%
新锐白领：12.8%
小镇青年：21.6%
精致妈妈：2.8%
资深中产：3%
都市蓝领：13.7%
小镇中老年：7.3%
都市银发：7.3%</t>
  </si>
  <si>
    <t>零跑、阿维塔、红旗</t>
  </si>
  <si>
    <t>【汽车测评】</t>
  </si>
  <si>
    <t>李二狗</t>
  </si>
  <si>
    <t>PGC级汽车内容矩阵，粉丝中男性占比85%，超跑爱好者/高净值人群集中。合作案例覆盖凯迪拉克等20+品牌，可定制“大佬座驾评测”“神车挑战赛”等强剧情内容，通过豪车场景自然植入中高端车型，提升品牌调性。</t>
  </si>
  <si>
    <t>2GOU999999999</t>
  </si>
  <si>
    <t>汽车随拍，汽车解说</t>
  </si>
  <si>
    <t>https://v.douyin.com/En7hpe/</t>
  </si>
  <si>
    <t>https://www.xingtu.cn/ad/creator/author-homepage/douyin-video/6810323760353116173?market_track_id=IA07VR1GJP47ACCZYL53&amp;search_session_id=7506418842764410892&amp;video_type=2&amp;_route_from=from_page%3DMarket%26search_session_id%3D7506418842764410892%26is_for_order%3D1%26market_track_id%3DIA07VR1GJP47ACCZYL53%26platform_source%3D1%26key%3D%25E6%259D%258E%25E4%25BA%258C%25E7%258B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</si>
  <si>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6810323760353116173</t>
  </si>
  <si>
    <t>视频号 懂车帝 微博 汽车之家</t>
  </si>
  <si>
    <t>男：88.6%
女：11.4%</t>
  </si>
  <si>
    <t>18-23：23.9%
24-30：35.6%
31-40：25.8%</t>
  </si>
  <si>
    <t>Z世代：14.5%
新锐白领：25.3%
小镇青年：23.6%
精致妈妈：0.6%
资深中产：2.3%
都市蓝领：21.3%
小镇中老年：5.9%
都市银发：6.4%</t>
  </si>
  <si>
    <t>凯迪拉克、深蓝、东风、别克E5、哈弗、阿维塔、小鹏G6、朗逸新锐、瑞虎9、农夫山泉、宝骏悦也、奇骏、别克君越、捷途汽车、雪佛兰星迈罗、智己LS7</t>
  </si>
  <si>
    <t>极速马力part</t>
  </si>
  <si>
    <t>烟嗓萝莉人设打破车评圈同质化，男粉互动意愿行业TOP10%。可设计多场景汽车使用，适配汽车配件、数码3C等，转化二次元与直男双重消费群体。</t>
  </si>
  <si>
    <t>jisumali666</t>
  </si>
  <si>
    <t>https://v.douyin.com/RLPXyXk/</t>
  </si>
  <si>
    <t>https://www.xingtu.cn/ad/creator/author-homepage/douyin-video/6949818439837941797?market_track_id=9OPR4JK5A7HVRUI77UJN&amp;search_session_id=7506418791321731126&amp;video_type=2&amp;_route_from=from_page%3DMarket%26search_session_id%3D7506418791321731126%26is_for_order%3D1%26market_track_id%3D9OPR4JK5A7HVRUI77UJN%26platform_source%3D1%26key%3D%25E6%259E%2581%25E9%2580%259F%25E9%25A9%25AC%25E5%258A%259Bpart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</si>
  <si>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6949818439837941797</t>
  </si>
  <si>
    <t>男 ：84.7%
女 ：15.3%</t>
  </si>
  <si>
    <t>18-23：31.8%
24-30：26.2%
31-40：19.9%</t>
  </si>
  <si>
    <t>Z世代：22%
新锐白领：21.3%
小镇青年：18.5%
精致妈妈：0.5%
资深中产：2.7%
都市蓝领：17%
小镇中老年：7.7%
都市银发：10.4%</t>
  </si>
  <si>
    <t>日产、魏牌蓝山、上汽大众、坦克、腾势、阿维塔、一汽奔腾、奇瑞、零跑、长安、小米、</t>
  </si>
  <si>
    <t>白老师就是白老师</t>
  </si>
  <si>
    <t>中汽协专家身份加持，粉丝中汽车从业者占比23%，专业评测视频完播率15%+。适合车企技术型产品（如新能源三电系统、智能驾驶）合作，通过拆解实验、对比测试等内容，建立“行业标准制定者”品牌形象。</t>
  </si>
  <si>
    <t>setbai</t>
  </si>
  <si>
    <t>https://v.douyin.com/dQcJY1k/</t>
  </si>
  <si>
    <t>https://www.xingtu.cn/ad/creator/author-homepage/douyin-video/6816605527640899598?market_track_id=T4VYPHWIK0LQXBFN71SP&amp;search_session_id=7506415324775596095&amp;video_type=2&amp;_route_from=from_page%3DMarket%26search_session_id%3D7506415324775596095%26is_for_order%3D1%26market_track_id%3DT4VYPHWIK0LQXBFN71SP%26platform_source%3D1%26key%3D%25E7%2599%25BD%25E8%2580%2581%25E5%25B8%2588%25E5%25B0%25B1%25E6%2598%25AF%25E7%2599%25BD%25E8%2580%2581%25E5%25B8%2588%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</si>
  <si>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6816605527640899598</t>
  </si>
  <si>
    <t>男：97.2%
女：2.8%</t>
  </si>
  <si>
    <t>18-23：25.3%
24-30：34.5%
31-40：31.8%</t>
  </si>
  <si>
    <t>Z世代：14.6%
新锐白领：36%
小镇青年：21%
精致妈妈：0.4%
资深中产：5.9%
都市蓝领：17.2%
小镇中老年：3.2%
都市银发：1.7%</t>
  </si>
  <si>
    <t>凯迪拉克、昊博、问界、吉利、丰田、林肯汽车、魏牌蓝山、一汽丰田bZ3、飞凡R7、smart、雷克萨斯</t>
  </si>
  <si>
    <t>夏77🟡CAG</t>
  </si>
  <si>
    <t>又甜美又专业的说车小姐姐，内容以汽车分享、汽车知识为主，风格独特、颜值在线。
男粉占比高、忠诚度高、粉丝互动及粘性强，达人针对市面上的汽车品牌有独到的见解。
汽车合作数据优质、内容精良、达人配合度高、产出高效。</t>
  </si>
  <si>
    <t>Vk977</t>
  </si>
  <si>
    <t>汽车随拍，颜值解说</t>
  </si>
  <si>
    <t>https://v.douyin.com/eC3yEYf/</t>
  </si>
  <si>
    <t>https://www.xingtu.cn/ad/creator/author-homepage/douyin-video/6629127176400666631?market_track_id=N70MFCTDKM9P7OANQPMW&amp;search_session_id=7506419022990000191&amp;video_type=2&amp;_route_from=from_page%3DMarket%26search_session_id%3D7506419022990000191%26is_for_order%3D1%26market_track_id%3DN70MFCTDKM9P7OANQPMW%26platform_source%3D1%26key%3D%25E5%25A4%258F77%25F0%259F%259F%25A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</si>
  <si>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6629127176400666631</t>
  </si>
  <si>
    <t>男：81.4%
女：18.6%</t>
  </si>
  <si>
    <t>18-23：23%
24-30：34.5%
31-40：27.3%</t>
  </si>
  <si>
    <t>Z世代：14%
新锐白领：22.7%
小镇青年：25.7%
精致妈妈：1.5%
资深中产：2.3%
都市蓝领：20.5%
小镇中老年：6.5%
都市银发：6.9%</t>
  </si>
  <si>
    <t>奥迪、东风奕派、吉利帝豪、东风日产、领克、传祺、东风风行、阿维塔、思域、奇瑞、奔腾、吉利银河、岚图、福特</t>
  </si>
  <si>
    <t>丁啊叮CAG</t>
  </si>
  <si>
    <t>美女汽车达人，首创“约会100个弟弟”汽车内容模式，通过年龄/职业差异化碰撞制造话题。适合主打年轻男性市场的品牌（如运动饮料、潮牌）联名，在约会场景中植入产品试用环节，强化“社交货币”属性。</t>
  </si>
  <si>
    <t>DD0904</t>
  </si>
  <si>
    <t>https://v.douyin.com/8Y1YhAe/</t>
  </si>
  <si>
    <t>https://www.xingtu.cn/ad/creator/author-homepage/douyin-video/6629725045386117128?market_track_id=SUU99W0ZLQ0TMB899JER&amp;search_session_id=7506419291269644299&amp;video_type=2&amp;_route_from=from_page%3DMarket%26search_session_id%3D7506419291269644299%26is_for_order%3D1%26market_track_id%3DSUU99W0ZLQ0TMB899JER%26platform_source%3D1%26key%3D%25E4%25B8%2581%25E5%2595%258A%25E5%258F%25A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</si>
  <si>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6629725045386117128</t>
  </si>
  <si>
    <t>男 ：80.8%
女 ：19.2%</t>
  </si>
  <si>
    <t>18-23：29.6%
24-30：27%
31-40：25.2%</t>
  </si>
  <si>
    <t>Z世代：22%
新锐白领：16.4%
小镇青年：24.1%
精致妈妈：0.8%
资深中产：2.4%
都市蓝领：19.7%
小镇中老年：7.4%
都市银发：7.4%</t>
  </si>
  <si>
    <t>泸州老窖、大众、腾势、东风日产、长安深蓝、阿维塔、传祺、广汽昊铂、东风风神、方程豹、奔腾、岚图</t>
  </si>
  <si>
    <t>蒋一亿🚗CAG</t>
  </si>
  <si>
    <t>颜值高、男粉多的汽车垂类美女，配合度高，合作过拼多多、大众、神火大陆等品牌</t>
  </si>
  <si>
    <t>汽车、颜值</t>
  </si>
  <si>
    <t>https://v.douyin.com/ikHJhdsd/ 5@0.com</t>
  </si>
  <si>
    <t>https://www.xingtu.cn/ad/creator/author-homepage/douyin-video/6855307372995280896?market_track_id=0U7XA97WQ7FAZ0HB1OQJ&amp;search_session_id=7506419289869107212&amp;video_type=2&amp;_route_from=from_page%3DMarket%26search_session_id%3D7506419289869107212%26is_for_order%3D1%26market_track_id%3D0U7XA97WQ7FAZ0HB1OQJ%26platform_source%3D1%26key%3D%25E8%2592%258B%25E4%25B8%2580%25E4%25BA%25BF%25F0%259F%259A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</si>
  <si>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6855307372995280896</t>
  </si>
  <si>
    <t>视频号 懂车帝  汽车之家</t>
  </si>
  <si>
    <t>男 ：94.4%
女 ：5.6%</t>
  </si>
  <si>
    <t>18-23：40.3%
24-30：35.8%
31-40：20.2%</t>
  </si>
  <si>
    <t>z世代：28.5%
小镇青年：23.5%
精致妈妈：0.5%
新锐白领：27.4%
都市蓝领：16.6%
小镇中老年：1%
资深中产：1.9%
都市银发：0.6%</t>
  </si>
  <si>
    <t>东风日产、长安深蓝、瓜子二手车、icar、阿维塔、岚图、起亚</t>
  </si>
  <si>
    <t>叶子宝宝🍃CAG</t>
  </si>
  <si>
    <t>高颜值美女汽车达人，粉丝活跃且粘性高。专注汽车领域，内容形式吸睛。合作优势显著，精准触达车迷，创作、互动强。可推广汽车品牌、周边及相关活动，</t>
  </si>
  <si>
    <t>yezi600</t>
  </si>
  <si>
    <t>汽车</t>
  </si>
  <si>
    <t>https://v.douyin.com/NfM4H3xVgqI/ 0@0.com</t>
  </si>
  <si>
    <t>https://www.xingtu.cn/ad/creator/author-homepage/douyin-video/6870160334506688526?market_track_id=ALUPYOHU2Q7WIQNY7CS6&amp;search_session_id=7529771916695224339&amp;possessStarId</t>
  </si>
  <si>
    <t>6870160334506688526</t>
  </si>
  <si>
    <t>视频号 懂车帝 汽车之家</t>
  </si>
  <si>
    <t>男 ：94.3%
女 ：5.7%</t>
  </si>
  <si>
    <t>18-23：32.8%
24-30：37%
31-40：24.5%</t>
  </si>
  <si>
    <t>Z世代：22.4%
新锐白领：27.3%
小镇青年：22.8%
精致妈妈：0.7%
资深中产：2.7%
都市蓝领：21.1%
小镇中老年：1.8%
都市银发：1.3%</t>
  </si>
  <si>
    <t>皮卡白CAG</t>
  </si>
  <si>
    <t>粉丝活跃且粘性高。专注汽车领域，车型涉猎广，内容形式吸睛。合作优势显著，精准触达车迷，创作、互动强。可推广汽车品牌、周边及相关活动，</t>
  </si>
  <si>
    <t>pkb071800</t>
  </si>
  <si>
    <t>https://v.douyin.com/YVnZ2nB_6tQ/ 9@0.com</t>
  </si>
  <si>
    <t>https://www.xingtu.cn/ad/creator/author-homepage/douyin-video/6729824086039461891?market_track_id=MR96FF0YLNLMW3T5JZGY&amp;search_session_id=7506415498557505577&amp;video_type=2&amp;_route_from=from_page%3DMarket%26search_session_id%3D7506415498557505577%26is_for_order%3D1%26market_track_id%3DMR96FF0YLNLMW3T5JZGY%26platform_source%3D1%26key%3D%25E7%259A%25AE%25E5%258D%25A1%25E7%2599%25BD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</si>
  <si>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6729824086039461891</t>
  </si>
  <si>
    <t>男 ：92.8%
女 ：7.2%</t>
  </si>
  <si>
    <t>18-23：38.3%
24-30：35.7%
31-40：20.2%</t>
  </si>
  <si>
    <t>z世代：27.1%
小镇青年：22%
精致妈妈：0.6%
新锐白领：26%
都市蓝领：18.8%
小镇中老年：1.8%
资深中产：1.9%
都市银发：1.8%</t>
  </si>
  <si>
    <t>皮卡白</t>
  </si>
  <si>
    <t>汽车垂类颜值女博主，内容主要以颜值讲车+趣味玩梗为主，男粉高达97.7%，完播率高，适合汽车、汽车配件、游戏等品类植入；达人配合度高，可口播；</t>
  </si>
  <si>
    <t>pkb0718</t>
  </si>
  <si>
    <t>https://v.douyin.com/iBXmyyq9/ 3@3.com</t>
  </si>
  <si>
    <t>https://www.xingtu.cn/ad/creator/author-homepage/douyin-video/6959337293316358177?market_track_id=ZFTAZJCSHTMZDAY2RDSW&amp;search_session_id=7506419462191530047&amp;video_type=2&amp;_route_from=from_page%3DMarket%26search_session_id%3D7506419462191530047%26is_for_order%3D1%26market_track_id%3DZFTAZJCSHTMZDAY2RDSW%26platform_source%3D1%26key%3D%25E7%259A%25AE%25E5%258D%25A1%25E7%2599%25BD%25E7%259A%2584%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</si>
  <si>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6959337293316358177</t>
  </si>
  <si>
    <t>男：92.8%
女：7.2%</t>
  </si>
  <si>
    <t>18-23：33.6%
24-30：33.4%
31-40：25.8%</t>
  </si>
  <si>
    <t>Z世代：21.2%
新锐白领：27%
小镇青年：24.4%
精致妈妈：0.8%
资深中产：2.9%
都市蓝领：18.8%
小镇中老年：2.7%
都市银发：2.2%</t>
  </si>
  <si>
    <t>吉利帝豪、长城、五菱缤果</t>
  </si>
  <si>
    <t>【变装/COS】</t>
  </si>
  <si>
    <t>超不可爱小朋友</t>
  </si>
  <si>
    <t>古风高颜值，擅长古风变装，内容质量高，女粉占比76.4%，美妆游戏汽车品牌等适配度高</t>
  </si>
  <si>
    <t>NiCCCCCe</t>
  </si>
  <si>
    <t>颜值、古风变装</t>
  </si>
  <si>
    <t>https://v.douyin.com/rNwDm9W/</t>
  </si>
  <si>
    <t>https://www.xingtu.cn/ad/creator/author-homepage/douyin-video/6789921129067724814?market_track_id=J7IHFN9EOYAI4FHGGJAS&amp;search_session_id=7506418399556157494&amp;video_type=2&amp;_route_from=from_page%3DMarket%26search_session_id%3D7506418399556157494%26is_for_order%3D1%26market_track_id%3DJ7IHFN9EOYAI4FHGGJAS%26platform_source%3D1%26key%3D%25E8%25B6%2585%25E4%25B8%258D%25E5%258F%25AF%25E7%2588%25B1%25E5%25B0%258F%25E6%259C%258B%25E5%258F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</si>
  <si>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6789921129067724814</t>
  </si>
  <si>
    <t>男：29.6%   
女：70.4%</t>
  </si>
  <si>
    <t>18-23：44%
24-30：31.6%
31-40：18.9%</t>
  </si>
  <si>
    <t>Z世代：31.3%
新锐白领：20.5%
小镇青年：22.6%
精致妈妈：7.2%
资深中产：2.6%
都市蓝领：13.2%
小镇中老年：1.6%
都市银发：1%</t>
  </si>
  <si>
    <t>雅诗兰黛、YSL 、TOM FORD、毛戈平、KIKO、长安三万里、MAC、逆水寒、暗河传、伊利须尽欢、成都欢乐谷、岚图上海车展、泉州国潮节</t>
  </si>
  <si>
    <t>泽陽.</t>
  </si>
  <si>
    <t>年轻且创意十足，风格多元，粉丝活跃度高。视频制作精良，能精准抓住用户眼球，助力品牌有效传播。合作诚意满满，配合度高，能按需求产出优质内容，为广告客户带来超高性价比营销。</t>
  </si>
  <si>
    <t>Talonsky</t>
  </si>
  <si>
    <t>变装、颜值</t>
  </si>
  <si>
    <t>https://v.douyin.com/D2Syf86/</t>
  </si>
  <si>
    <t>https://www.xingtu.cn/ad/creator/author-homepage/douyin-video/6938687645769990180?market_track_id=DMIQS879LMYA0HUM1WM8&amp;search_session_id=7506418399556698166&amp;video_type=2&amp;_route_from=from_page%3DMarket%26search_session_id%3D7506418399556698166%26is_for_order%3D1%26market_track_id%3DDMIQS879LMYA0HUM1WM8%26platform_source%3D1%26key%3D%25E6%25B3%25BD%25E9%2599%25BD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</si>
  <si>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6938687645769990180</t>
  </si>
  <si>
    <t>男：66.5%
女：33.5%</t>
  </si>
  <si>
    <t>18-23：49.6%
31-40：12.7%
50+：15.6%</t>
  </si>
  <si>
    <t>Z世代：48.4%
新锐白领：4.4%
小镇青年：23.6%
精致妈妈：0.5%
资深中产：1.2%
都市蓝领：8.6%
小镇中老年：6.1%
都市银发：7.1%</t>
  </si>
  <si>
    <t>永劫无间、乌苏白啤、燕云十六声</t>
  </si>
  <si>
    <t>Cn 脸扁</t>
  </si>
  <si>
    <t>会拉二胡和拥有有趣灵魂的coser，风格跨越大，满足不同粉丝群体的喜好。</t>
  </si>
  <si>
    <t>COS 变装</t>
  </si>
  <si>
    <t>https://v.douyin.com/jw6LBUB/</t>
  </si>
  <si>
    <t>https://www.xingtu.cn/ad/creator/author-homepage/douyin-video/6783864693632008200?market_track_id=DX2XFJA2VHND2WDXVECP&amp;search_session_id=7506418399556894774&amp;video_type=2&amp;_route_from=from_page%3DMarket%26search_session_id%3D7506418399556894774%26is_for_order%3D1%26market_track_id%3DDX2XFJA2VHND2WDXVECP%26platform_source%3D1%26key%3DCn%2B%25E8%2584%25B8%25E6%2589%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</si>
  <si>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6783864693632008200</t>
  </si>
  <si>
    <t>男：23.2%
女：76.8%</t>
  </si>
  <si>
    <t>18-23：49%
24-30：17.3%
31-40：15.2%</t>
  </si>
  <si>
    <t>Z世代：46.4%
新锐白领：7.9%
小镇青年：23.3%
精致妈妈：1.8%
资深中产：1.7%
都市蓝领：10.6%
小镇中老年：4.2%
都市银发：4.1%</t>
  </si>
  <si>
    <t>毛戈平、可口可乐、玄中记、世界之外、江南百景图原神、阴阳师、梦幻西游、饿了么、香飘飘</t>
  </si>
  <si>
    <t>鹿里真茗</t>
  </si>
  <si>
    <t>会配音玩cos的美妆短剧变装国风博主，适合的行业涵盖自媒体、文化传播、教育培训等。</t>
  </si>
  <si>
    <t>Lulizhenming</t>
  </si>
  <si>
    <t>https://v.douyin.com/ik1j1xge/ 9@3.com</t>
  </si>
  <si>
    <t>https://www.xingtu.cn/ad/creator/author-homepage/douyin-video/6910389796934254599?market_track_id=ZAKP6TWX3Z0B093LXPGP&amp;search_session_id=7506415352033706038&amp;video_type=2&amp;_route_from=from_page%3DMarket%26search_session_id%3D7506415352033706038%26is_for_order%3D1%26market_track_id%3DZAKP6TWX3Z0B093LXPGP%26platform_source%3D1%26key%3D%25E9%25B9%25BF%25E9%2587%258C%25E7%259C%259F%25E8%258C%2597%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</si>
  <si>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6910389796934254599</t>
  </si>
  <si>
    <t>男：13.4%
女：86.6%</t>
  </si>
  <si>
    <t>18-23：50.8%
24-30：15.9%
31-40：15.5%</t>
  </si>
  <si>
    <t>Z世代：44.2%
新锐白领：5.5%
小镇青年：27.8%
精致妈妈：2.1%
资深中产：1.4%
都市蓝领：12.3%
小镇中老年：3.5%
都市银发：3.1%</t>
  </si>
  <si>
    <t>天猫精灵、倩女幽魂、盛世芳华手游、谷雨、支付宝、茶百道</t>
  </si>
  <si>
    <t>杭州</t>
  </si>
  <si>
    <t>小年Nian</t>
  </si>
  <si>
    <t>作为专职 coser，达人 COS 作品质量高，对角色的还原度及细节把控都非常出色，能精准地呈现出角色的神韵和气质，让观众有很强的代入感，仿佛角色从二次元世界走进了现实.
作品风格鲜明，色彩搭配和画面构图都极具视觉冲击力，明暗处理到位，在展现角色美感的同时，也能充分发挥产品特色。</t>
  </si>
  <si>
    <t>Thesmallyear</t>
  </si>
  <si>
    <t>COS、二次元剧情</t>
  </si>
  <si>
    <t>https://v.douyin.com/iDDUXSLj/ 9@1.com :2pm</t>
  </si>
  <si>
    <t>https://www.xingtu.cn/ad/creator/author-homepage/douyin-video/7260488513212710970?market_track_id=3V43JEXVIF8XB9KJH909&amp;search_session_id=7506416010629988393&amp;video_type=2&amp;_route_from=from_page%3DMarket%26search_session_id%3D7506416010629988393%26is_for_order%3D1%26market_track_id%3D3V43JEXVIF8XB9KJH909%26platform_source%3D1%26key%3D%25E5%25B0%258F%25E5%25B9%25B4N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</si>
  <si>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7260488513212710970</t>
  </si>
  <si>
    <t>男：33%
女：67%</t>
  </si>
  <si>
    <t>18-23：50.7%
24-30：16.6%
31-40：14.4%</t>
  </si>
  <si>
    <t>Z世代：46.4%
新锐白领：6%
小镇青年：24.2%
精致妈妈：1.5%
资深中产：1.6%
都市蓝领：13.4%
小镇中老年：3.5%
都市银发：3.4%</t>
  </si>
  <si>
    <t>斗罗大陆、第五人格、寻道大千、益禾堂、霸王茶姬、oppo</t>
  </si>
  <si>
    <t>【旅行/摄影】</t>
  </si>
  <si>
    <t>聪仔</t>
  </si>
  <si>
    <t>粉丝以一线城市30+中产为主，热衷小众旅行、品质家居。可定制“产品融入旅途”内容（如相机记录极光、行李箱测评），传递“慢生活”理念，适配汽车、户外装备、高端家电品牌。</t>
  </si>
  <si>
    <t>摄影 日常 旅行</t>
  </si>
  <si>
    <t>https://v.douyin.com/BNvsvjV/</t>
  </si>
  <si>
    <t>https://www.xingtu.cn/ad/creator/author-homepage/douyin-video/6906468704179978253?market_track_id=PF8ZCBKZ0WM963G1RPPE&amp;search_session_id=7506418652669968420&amp;video_type=2&amp;_route_from=from_page%3DMarket%26search_session_id%3D7506418652669968420%26is_for_order%3D1%26market_track_id%3DPF8ZCBKZ0WM963G1RPPE%26platform_source%3D1%26key%3D%25E8%2581%25AA%25E4%25BB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</si>
  <si>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6906468704179978253</t>
  </si>
  <si>
    <t>女 ：15.8%  
男 ：84.2%</t>
  </si>
  <si>
    <t>18-23：17.8%
24-30：40.1%
31-40：35.3%</t>
  </si>
  <si>
    <t>Z世代：9.2%
新锐白领：31.9%
小镇青年：25.4%
精致妈妈：2.4%
资深中产：2.9%
都市蓝领：23.2%
小镇中老年：3.2%
都市银发：1.8%</t>
  </si>
  <si>
    <t>得物，捷途、芬达、奇骏、岚图、OPPO、三星、五菱、魏牌蓝山、极狐、零跑、领克、东风本田、沱牌舍得、北汽、坦克</t>
  </si>
  <si>
    <t>连蜜.</t>
  </si>
  <si>
    <t>旅行向舞蹈类转场变装内容，融入文化传播，带你感受自然风光，内容质感强，植入场景丰富、空间大；男粉占比90.8%；适合文旅传播、汽车、3c数码、游戏、食品饮品类品牌植</t>
  </si>
  <si>
    <t>mumushibendan</t>
  </si>
  <si>
    <t>旅行、舞蹈、颜值</t>
  </si>
  <si>
    <t>https://v.douyin.com/YSFB7Vh/</t>
  </si>
  <si>
    <t>https://www.xingtu.cn/ad/creator/author-homepage/douyin-video/6846195326383030286?market_track_id=FOAXG3JNKY28QCQJUMNJ&amp;search_session_id=7506419512900763660&amp;video_type=2&amp;_route_from=from_page%3DMarket%26search_session_id%3D7506419512900763660%26is_for_order%3D1%26market_track_id%3DFOAXG3JNKY28QCQJUMNJ%26platform_source%3D1%26key%3D%25E8%25BF%259E%25E8%259C%259C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</si>
  <si>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6846195326383030286</t>
  </si>
  <si>
    <t>男：80.7%
女：19.3%</t>
  </si>
  <si>
    <t>18-23：43.3%
24-30：26.5%
31-40：16.4%</t>
  </si>
  <si>
    <t>Z世代：30.9%
新锐白领：15.5%
小镇青年：24%
精致妈妈：0.8%
资深中产：1.6%
都市蓝领：17.2%
小镇中老年：4.8%
都市银发：5.2%</t>
  </si>
  <si>
    <t>比亚迪、阿维塔、滴滴、康师傅、长安、原神、零跑汽车、大众、阿尔卑斯、安慕希、岚图、云上草原</t>
  </si>
  <si>
    <t>新晋
账号</t>
  </si>
  <si>
    <t>鑫子</t>
  </si>
  <si>
    <t>抖音摄影领域达人，专注广角、胶片摄影，作品点赞超351万。擅长用独特视角捕捉精彩瞬间，为品牌打造极具视觉冲击力的广告内容，助力品牌高效传播，实现品效合一。</t>
  </si>
  <si>
    <t>xinzi123</t>
  </si>
  <si>
    <t>摄影 日常</t>
  </si>
  <si>
    <t>https://v.douyin.com/8X9N7CXaq1E/</t>
  </si>
  <si>
    <t>https://www.xingtu.cn/ad/creator/author-homepage/douyin-video/7187348189282828322?market_track_id=R423INSAAL9SF4RUDHTZ&amp;search_session_id=7553117274304331812&amp;possessStarId</t>
  </si>
  <si>
    <t>7187348189282828322</t>
  </si>
  <si>
    <t>视频号 快手 小红书</t>
  </si>
  <si>
    <t>女 ：77.3%  
男 ：22.7%</t>
  </si>
  <si>
    <t>18-23：64.1%
24-30：20.3%
31-40：8.2%</t>
  </si>
  <si>
    <t>Z世代：51.5%
新锐白领：9.5%
小镇青年：23.9%
精致妈妈：3%
资深中产：0.8%
都市蓝领：9.2%
小镇中老年：1.2%
都市银发：1.1%</t>
  </si>
  <si>
    <t>尼康、古茗、mistine、柳丝木、汽水音乐节、霸王丝</t>
  </si>
  <si>
    <t>周星辰_</t>
  </si>
  <si>
    <t>集摄影、旅游、穿搭、才艺于一身的综合型博主，横跨文化艺术、娱乐、时尚、旅游等领域，可与旅游、摄影器材、时尚服装、娱乐传媒等行业达成多元合作，解锁无限可能。</t>
  </si>
  <si>
    <t>摄影 日常 vlog 旅行</t>
  </si>
  <si>
    <t>https://v.douyin.com/iMskdSfA/</t>
  </si>
  <si>
    <t>https://www.xingtu.cn/ad/creator/author-homepage/douyin-video/7317865186126217267?market_track_id=LVJ7WBPBL8XAZ4H9W002&amp;search_session_id=7506418818525331467&amp;video_type=2&amp;_route_from=from_page%3DMarket%26search_session_id%3D7506418818525331467%26is_for_order%3D1%26market_track_id%3DLVJ7WBPBL8XAZ4H9W002%26platform_source%3D1%26key%3D%25E5%2591%25A8%25E6%2598%259F%25E8%25BE%25B0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</si>
  <si>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7317865186126217267</t>
  </si>
  <si>
    <t>男：76.8%
女：23.2%</t>
  </si>
  <si>
    <t>18-23：26.5%
24-30：33.8%
31-40：22.4%</t>
  </si>
  <si>
    <t>Z世代：17%
新锐白领：18.2%
小镇青年：25.9%
精致妈妈：0.9%
资深中产：1.8%
都市蓝领：23.5%
小镇中老年：7.3%
都市银发：5.6%</t>
  </si>
  <si>
    <t>荣耀、三星、极氪、领克、波司登、CK、阿玛尼、重庆啤酒、百事可乐、吉利银河、华为、捷途</t>
  </si>
  <si>
    <t>名摄影小新</t>
  </si>
  <si>
    <r>
      <rPr>
        <sz val="9"/>
        <color rgb="FF08090C"/>
        <rFont val="微软雅黑"/>
        <charset val="134"/>
      </rPr>
      <t>光影魔法师</t>
    </r>
    <r>
      <rPr>
        <sz val="9"/>
        <color rgb="FF08090C"/>
        <rFont val="宋体"/>
        <charset val="134"/>
      </rPr>
      <t>✖</t>
    </r>
    <r>
      <rPr>
        <sz val="9"/>
        <color rgb="FF08090C"/>
        <rFont val="微软雅黑"/>
        <charset val="134"/>
      </rPr>
      <t>️手作创意人！集摄影美学、手工创作、场景穿搭与灵感旅拍于一身，横跨文化、时尚、艺术、生活领域，是品牌解锁年轻视野与创意表达的绝佳伙伴。”</t>
    </r>
  </si>
  <si>
    <t>YunmuL</t>
  </si>
  <si>
    <t>手工 创意制作 摄影</t>
  </si>
  <si>
    <t>https://v.douyin.com/sAN6OJdtQJk/ 5@8.com</t>
  </si>
  <si>
    <t>https://www.xingtu.cn/ad/creator/author-homepage/douyin-video/7199695122814992442?market_track_id=ZXBVBKFT569LO0GS36DM&amp;search_session_id=7514227812799512612&amp;video_type=2&amp;_route_from=from_page%3DMarket%26search_session_id%3D7514227812799512612%26is_for_order%3D1%26market_track_id%3DZXBVBKFT569LO0GS36DM%26platform_source%3D1%26key%3D%25E5%2590%258D%25E6%2591%2584%25E5%25BD%25B1%25E5%25B0%258F%25E6%2596%25B0%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</si>
  <si>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7199695122814992442</t>
  </si>
  <si>
    <t>60S以上可分发快手、小红书</t>
  </si>
  <si>
    <t>男：38%
女：62%</t>
  </si>
  <si>
    <t>18-23：54%
24-30：25%
31-40：18%</t>
  </si>
  <si>
    <t>霸王茶姬</t>
  </si>
  <si>
    <t>比格费西</t>
  </si>
  <si>
    <t>川普RAP魔性洗脑，方言梗视频平均转发量8w+。适合打造本地文化热梗营销，或快消品定制方言广告歌，利用语言特色强化记忆点，破圈下沉市场。</t>
  </si>
  <si>
    <t>bigefeixi</t>
  </si>
  <si>
    <t>音乐、段子</t>
  </si>
  <si>
    <t>https://v.douyin.com/evchkkA/</t>
  </si>
  <si>
    <t>https://www.xingtu.cn/ad/creator/author-homepage/douyin-video/6678504237074219021?market_track_id=D13CLSKP8FWFDVFPETW1&amp;search_session_id=7506418842764115980&amp;video_type=2&amp;_route_from=from_page%3DMarket%26search_session_id%3D7506418842764115980%26is_for_order%3D1%26market_track_id%3DD13CLSKP8FWFDVFPETW1%26platform_source%3D1%26key%3D%25E6%25AF%2594%25E6%25A0%25BC%25E8%25B4%25B9%25E8%25A5%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</si>
  <si>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6678504237074219021</t>
  </si>
  <si>
    <t>男：59.5%
女：40.5%</t>
  </si>
  <si>
    <t>24-30：17.6%
31-40：36.6%
50+：19.9</t>
  </si>
  <si>
    <t>Z世代：6.1%
新锐白领：12.6%
小镇青年：26%
精致妈妈：4.2%
资深中产：6.3%
都市蓝领：10.9%
小镇中老年：18.3%
都市银发：15.5%</t>
  </si>
  <si>
    <t>五粮液、郑州日产、长安汽车、圣酒玉玺、荣威、王者荣耀、瑞丽特干葡萄酒、金六福酒、食魂火锅底料等</t>
  </si>
  <si>
    <t>【颜值】</t>
  </si>
  <si>
    <t>大佬甜Giovanna</t>
  </si>
  <si>
    <t>魅力四射的欧美御姐，风格百变，在变装与美妆领域游刃有余，尤其是以惊艳众人的 AI 机器人形象火速出圈，极具塑造潜力，绽放独特光彩。</t>
  </si>
  <si>
    <t>颜值 COS 创意变装</t>
  </si>
  <si>
    <t>https://v.douyin.com/8bbdWJN/</t>
  </si>
  <si>
    <t>https://www.xingtu.cn/ad/creator/author-homepage/douyin-video/6629659903533252612?market_track_id=49QF5IG7N77EGGQ6BGXL&amp;search_session_id=7506428888890212371&amp;video_type=2&amp;_route_from=from_page%3DMarket%26search_session_id%3D7506428888890212371%26is_for_order%3D1%26market_track_id%3D49QF5IG7N77EGGQ6BGXL%26platform_source%3D1%26key%3D%25E5%25A4%25A7%25E4%25BD%25AC%25E7%2594%259CGiovann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</si>
  <si>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6629659903533252612</t>
  </si>
  <si>
    <t>线下活动一小时30000</t>
  </si>
  <si>
    <t>男：47.9%
女：52.1%</t>
  </si>
  <si>
    <t>18-23：42%
24-30：26.3%
31-40：17.1%</t>
  </si>
  <si>
    <t>Z世代：34.4%
新锐白领：11.2%
小镇青年：25.9%
精致妈妈：2.6%
资深中产：1.7%
都市蓝领：14.4%
小镇中老年：4.6%
都市银发：5.2%</t>
  </si>
  <si>
    <t>京东、三星、凯迪拉克、千古情景区、MAC、韶音耳机、科兰黎、阿维塔、东风日产、领克、捷途、奔腾、长安、机械革命、岚图、</t>
  </si>
  <si>
    <t>雪蕊呀！</t>
  </si>
  <si>
    <t xml:space="preserve">颜值领域自媒体创作者
创作内容以发布个人颜值视频为主。邻家妹妹的风格吸引了众多网友的关注。
</t>
  </si>
  <si>
    <t>xrbb9520</t>
  </si>
  <si>
    <t>颜值</t>
  </si>
  <si>
    <t>https://v.douyin.com/idVsSMmU/</t>
  </si>
  <si>
    <t>https://www.xingtu.cn/ad/creator/author-homepage/douyin-video/6734527767246798860?market_track_id=WKVXPSL4IKRQJNQ4NM5M&amp;search_session_id=7506429136802496531&amp;video_type=2&amp;_route_from=from_page%3DMarket%26search_session_id%3D7506429136802496531%26is_for_order%3D1%26market_track_id%3DWKVXPSL4IKRQJNQ4NM5M%26platform_source%3D1%26key%3D%25E9%259B%25AA%25E8%2595%258A%25E5%2591%2580%25EF%25BC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</si>
  <si>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6734527767246798860</t>
  </si>
  <si>
    <t>男：88.9%
女：11.1%</t>
  </si>
  <si>
    <t>18-23：61.7%
24-30：20.2%
31-40：8.9%</t>
  </si>
  <si>
    <t>Z世代：45.8%
新锐白领：12.7%
小镇青年：21.5%
精致妈妈：0.4%
资深中产：1%
都市蓝领：13.2%
小镇中老年：2.6%
都市银发：2.8%</t>
  </si>
  <si>
    <t>YSL、五菱、星穹铁道、小米、香奈儿、蛋仔派对、京东、周大生、东风奕派、汉堡王、华为</t>
  </si>
  <si>
    <t>成都/北京</t>
  </si>
  <si>
    <t>王情水</t>
  </si>
  <si>
    <t>情感向剧情内容，电影质感随拍，特写镜头直观感受情绪的表达，植入场景多、空间大；剧情承制经验丰富，女粉占比53.3%；适合全品类品牌植入</t>
  </si>
  <si>
    <t>https://v.douyin.com/hQeDxNC/</t>
  </si>
  <si>
    <t>https://www.xingtu.cn/ad/creator/author-homepage/douyin-video/6596679555342139396?market_track_id=BT0EEIGVJVDIVEW41ZGX&amp;search_session_id=7506429136803135507&amp;video_type=2&amp;_route_from=from_page%3DMarket%26search_session_id%3D7506429136803135507%26is_for_order%3D1%26market_track_id%3DBT0EEIGVJVDIVEW41ZGX%26platform_source%3D1%26key%3D%25E7%258E%258B%25E6%2583%2585%25E6%25B0%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</si>
  <si>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6596679555342139396</t>
  </si>
  <si>
    <t>18-23：46.8%
24-30：21.3%
31-40：19.8%</t>
  </si>
  <si>
    <t>Z世代：38.5%
新锐白领：9.4%
小镇青年：21%
精致妈妈：1.1%
资深中产：1.5%
都市蓝领：20.8%
小镇中老年：4.2%
都市银发：3.5%</t>
  </si>
  <si>
    <t>蛋仔派对、欧莱雅、理然、徕芬、美度、零跑、李宁、太平鸟、百事、凌度、芝华仕、东鹏大咖、1664、波司登、科罗娜</t>
  </si>
  <si>
    <t>豚豚SAMA</t>
  </si>
  <si>
    <t>具有高人气与影响力的头部游戏博主，覆盖游戏及 cosplay 等领域。达人受众定位精准，粉丝多为游戏爱好者与二次元文化追随者，消费潜力大，对游戏、电竞、动漫周边及潮流产品兴趣浓厚，品牌可精准触达目标客户。
豚豚甜美的形象，亲和幽默的性格，与粉丝互动良好，易获得粉丝信任，助力品牌塑造正面形象，提高产品推广效果。
视频合作形式多元，打造多样化广告模式 例如：模拟游戏直播切片（eg：永劫无间、晶核）、cosplay 短视频、产品植入（保eg：保健类-宝佳适）、定制剧情（eg：魔力宝贝复兴）等，可结合合作产品特点，提升广告趣味性与吸引力，避免生硬推广。除游戏外，数码3C、汽车、食饮皆可合作。</t>
  </si>
  <si>
    <t>游戏 日常、颜值</t>
  </si>
  <si>
    <t>https://v.douyin.com/SyqNhh3/</t>
  </si>
  <si>
    <t>https://www.xingtu.cn/ad/creator/author-homepage/douyin-video/6763253245738483715?market_track_id=C0I7KHGF451531MIIVWW&amp;search_session_id=7506416851413450764&amp;video_type=2&amp;_route_from=from_page%3DMarket%26search_session_id%3D7506416851413450764%26is_for_order%3D1%26market_track_id%3DC0I7KHGF451531MIIVWW%26platform_source%3D1%26key%3D%25E8%25B1%259A%25E8%25B1%259A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</si>
  <si>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6763253245738483715</t>
  </si>
  <si>
    <t>男：95.6%
女：4.4%</t>
  </si>
  <si>
    <t>18-23：40.3%
24-30：45.2%
31-40：12.6%</t>
  </si>
  <si>
    <t>Z世代：22.1%
新锐白领：25.6%
小镇青年：24.3%
精致妈妈：0.3%
资深中产：0.6%
都市蓝领：25.8%
小镇中老年：0.6%
都市银发：0.6%</t>
  </si>
  <si>
    <t>伊利、intoyou、Swisse、瑞幸、零跑、RIO、剑侠世界3、星球重启、三国志、永劫无间</t>
  </si>
  <si>
    <t>梦轩</t>
  </si>
  <si>
    <t>颜值、舞蹈、妆容、穿搭都是她的舒适区，而她依旧挑战不同的内容赛道，为商业化时刻做好准备</t>
  </si>
  <si>
    <t>88888882_</t>
  </si>
  <si>
    <t>颜值 创意变装</t>
  </si>
  <si>
    <t>https://v.douyin.com/iRjb6jSc/</t>
  </si>
  <si>
    <t>https://www.xingtu.cn/ad/creator/author-homepage/douyin-video/6918092611571941389?market_track_id=O3DRWQMXZTJK4BBZ0EKJ&amp;search_session_id=7506429452747112460&amp;video_type=2&amp;_route_from=from_page%3DMarket%26search_session_id%3D7506429452747112460%26is_for_order%3D1%26market_track_id%3DO3DRWQMXZTJK4BBZ0EKJ%26platform_source%3D1%26key%3D%25E6%25A2%25A6%25E8%25BD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</si>
  <si>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6918092611571941389</t>
  </si>
  <si>
    <t>男：30.1%
女：69.9%</t>
  </si>
  <si>
    <t>18-23：62.6%
24-30：21.6%
31-40：7.8%</t>
  </si>
  <si>
    <t>Z世代：47.5%
新锐白领：11.4%
小镇青年：23.3%
精致妈妈：2.1%
资深中产：0.7%
都市蓝领：10.8%
小镇中老年：2.2%
都市银发：2%</t>
  </si>
  <si>
    <t>蛋仔派对、拼多多、七度空间、久匠</t>
  </si>
  <si>
    <t>是腿腿耶</t>
  </si>
  <si>
    <t>高质感的视频，超高的颜值博主，众多的男粉占比，达人配合度高，合作过荣威、东风、阿迪达斯、益禾堂、台铃电动车、我是大东家、战火勋章、东风等品牌</t>
  </si>
  <si>
    <t>stty000316</t>
  </si>
  <si>
    <t>https://v.douyin.com/U7hrxCa/</t>
  </si>
  <si>
    <t>https://www.xingtu.cn/ad/creator/author-homepage/douyin-video/6791920181795880967?market_track_id=IM3U27N5TPWIQ7CVV1N0&amp;search_session_id=7506429437123608587&amp;video_type=2&amp;_route_from=from_page%3DMarket%26search_session_id%3D7506429437123608587%26is_for_order%3D1%26market_track_id%3DIM3U27N5TPWIQ7CVV1N0%26platform_source%3D1%26key%3D%25E6%2598%25AF%25E8%2585%25BF%25E8%2585%25BF%25E8%2580%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</si>
  <si>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6791920181795880967</t>
  </si>
  <si>
    <t>男：86.6%
女：13.4%</t>
  </si>
  <si>
    <t>18-23：56.5%
24-30：25.7%
31-40：11.3%</t>
  </si>
  <si>
    <t>Z世代：43.2%
新锐白领：14.9%
小镇青年：23.1%
精致妈妈：0.6%
资深中产：1.1%
都市蓝领：14.6%
小镇中老年：1.3%
都市银发：1.2%</t>
  </si>
  <si>
    <t>荣威、东风、阿迪达斯、益禾堂、台铃电动车、我是大东家、战火勋章、东风、伊利、奇瑞icar、嘉士伯</t>
  </si>
  <si>
    <t>保琳球有点胖</t>
  </si>
  <si>
    <t>美丽性感小姐姐，擅长跳性感小舞。日常以氛围感泛娱乐随拍内容为主。
年轻男粉占比居高，月度连接总用户数 339.8w，环比 +133.3%，位于行业内 TOP 20%。星图内容一级标签为汽车，适合汽车、数码等男性向产品推广。
城市前三位广州、北京、深圳，一线城市粉丝居多，有较强的购买力。</t>
  </si>
  <si>
    <t>baolinqiu997</t>
  </si>
  <si>
    <t>https://v.douyin.com/iJCV86d/</t>
  </si>
  <si>
    <t>https://www.xingtu.cn/ad/creator/author-homepage/douyin-video/6942543953501618190?market_track_id=QX6ICE89U286JW02WLSZ&amp;search_session_id=7506429594061242407&amp;video_type=2&amp;_route_from=from_page%3DMarket%26search_session_id%3D7506429594061242407%26is_for_order%3D1%26market_track_id%3DQX6ICE89U286JW02WLSZ%26platform_source%3D1%26key%3D%25E4%25BF%259D%25E7%2590%25B3%25E7%2590%2583%25E6%259C%2589%25E7%2582%25B9%25E8%2583%2596%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</si>
  <si>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6942543953501618190</t>
  </si>
  <si>
    <t>18-23：37.8%
24-30：26.3%
31-40：17%</t>
  </si>
  <si>
    <t>Z世代：25.5%
新锐白领：16.6%
小镇青年：21.1%
精致妈妈：0.9%
资深中产：2.2%
都市蓝领：19.2%
小镇中老年：7%
都市银发：7.5%</t>
  </si>
  <si>
    <t>得物、拼多多、穿越火线、比亚迪、昊铂、明日之后、东本思域</t>
  </si>
  <si>
    <t>广州</t>
  </si>
  <si>
    <t>不知名网友酥</t>
  </si>
  <si>
    <t>完播率93.4%，互动64%，粉丝粘性强，形象青春靓丽。汽车数码3C服饰品牌热衷投放首选账号。曾合作品牌：妮维雅、华为、森马、雪花、康师傅、抖音商城、熊猫mini、奈雪、CROCS、东风纳米、霸王茶姬</t>
  </si>
  <si>
    <t>https://v.douyin.com/iRoxMA1u/ 0@8.com</t>
  </si>
  <si>
    <t>https://www.xingtu.cn/ad/creator/author-homepage/douyin-video/6739747258457128971?market_track_id=MA29RSFT2LORMYQL3DH8&amp;search_session_id=7506429664668434473&amp;video_type=2&amp;_route_from=from_page%3DMarket%26search_session_id%3D7506429664668434473%26is_for_order%3D1%26market_track_id%3DMA29RSFT2LORMYQL3DH8%26platform_source%3D1%26key%3D%25E4%25B8%258D%25E7%259F%25A5%25E5%2590%258D%25E7%25BD%2591%25E5%258F%258B%25E9%2585%25A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</si>
  <si>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6739747258457128971</t>
  </si>
  <si>
    <t>男：80.8%
女：19.2%</t>
  </si>
  <si>
    <t>18-23：61.5%
24-30：25.2%
31-40：8.6%</t>
  </si>
  <si>
    <t>Z世代：42.9%
新锐白领：9.6%
小镇青年：30.4%
精致妈妈：0.5%
资深中产：0.6%
都市蓝领：14.3%
小镇中老年：1%
都市银发：0.7%</t>
  </si>
  <si>
    <t>妮维雅、华为、小米、雪花、康师傅、熊猫mini、奈雪、CROCS、东风纳米、霸王茶姬、</t>
  </si>
  <si>
    <t>一醒</t>
  </si>
  <si>
    <t>“短发天花板”，以生活片段与穿搭造型为核心内容，治愈笑容与独特气质圈粉无数，单条视频最高获赞184.4万。内容兼具质感与传播力，适配美妆、服饰、生活方式等品类，助力品牌高效触达年轻受众。</t>
  </si>
  <si>
    <t>yixing22</t>
  </si>
  <si>
    <t>https://v.douyin.com/EYsYmOl35_o/</t>
  </si>
  <si>
    <t>https://www.xingtu.cn/ad/creator/author-homepage/douyin-video/6950547741772611621?market_track_id=TNBIOM0X2B5CFEY1M52H&amp;search_session_id=7555809283087810599&amp;possessStarId</t>
  </si>
  <si>
    <t>6950547741772611621</t>
  </si>
  <si>
    <t>男：92.9%
女：7.1%</t>
  </si>
  <si>
    <t>18-23：35.9%
24-30：37.1%
31-40：24.2%</t>
  </si>
  <si>
    <t>Z世代：22.9%
新锐白领：32.9%
小镇青年：22.4%
精致妈妈：0.5%
资深中产：2.4%
都市蓝领：17.5%
小镇中老年：1%
都市银发：0.5%</t>
  </si>
  <si>
    <t>TF、YSL、三星、VIVO、雅迪、MLB</t>
  </si>
  <si>
    <t>VV</t>
  </si>
  <si>
    <t>视频风格清新自然，感染力强，能与粉丝建立深厚情感连接。其星图广告可精准触达目标受众，凭借高互动率和优质内容，为品牌实现高效传播与转化，是您推广品牌的优质选择。</t>
  </si>
  <si>
    <t>wyj0812</t>
  </si>
  <si>
    <t>https://v.douyin.com/eNCSeHH/</t>
  </si>
  <si>
    <t>https://www.xingtu.cn/ad/creator/author-homepage/douyin-video/6870160411379892231?market_track_id=Q5M20T2PEK2M1R5YASOU&amp;search_session_id=7550219414239985705&amp;possessStarId</t>
  </si>
  <si>
    <t>6870160411379892231</t>
  </si>
  <si>
    <t>微博</t>
  </si>
  <si>
    <t>男：41.7%
女：58.3%</t>
  </si>
  <si>
    <t>18-23：61.3%
24-30：27.4%
31-40：7.9%</t>
  </si>
  <si>
    <t>Z世代：39.8%
新锐白领：13%
小镇青年：27.1%
精致妈妈：3.3%
资深中产：0.7%
都市蓝领：14.4%
小镇中老年：1%
都市银发：0.8%</t>
  </si>
  <si>
    <t>迪奥、娇韵诗、伊利、MAC、沪上阿姨、原神启动、TF、比亚迪、coach、1664</t>
  </si>
  <si>
    <t>九觅在这儿</t>
  </si>
  <si>
    <t>高颜值美女达人，性价比高，均赞6w+，男粉83%，适合游戏项目</t>
  </si>
  <si>
    <t>颜值、变装</t>
  </si>
  <si>
    <t>https://v.douyin.com/rbL8XVL/</t>
  </si>
  <si>
    <t>https://www.xingtu.cn/ad/creator/author-homepage/douyin-video/6900654571798921224?market_track_id=SVJQM7OP52GJJXKEGAQX&amp;search_session_id=7506429690123911187&amp;video_type=2&amp;_route_from=from_page%3DMarket%26search_session_id%3D7506429690123911187%26is_for_order%3D1%26market_track_id%3DSVJQM7OP52GJJXKEGAQX%26platform_source%3D1%26key%3D%25E4%25B9%259D%25E8%25A7%2585%25E5%259C%25A8%25E8%25BF%2599%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</si>
  <si>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6900654571798921224</t>
  </si>
  <si>
    <t>男 ：64.8%
女 ：35.2%</t>
  </si>
  <si>
    <t>18-23：51.5%
24-30：28.5%
31-40：12.9%</t>
  </si>
  <si>
    <t>Z世代：36.4%
新锐白领：12.1%
小镇青年：28.4%
资深中产：1.5%
都市蓝领：16.2%
小镇中老年：1.9%
都市银发：1.7%
精致妈妈：1.7%</t>
  </si>
  <si>
    <t>昆明京东Mall、梦幻西游、梦幻新诛仙、天猫、沙宣、得物</t>
  </si>
  <si>
    <t>昆明</t>
  </si>
  <si>
    <t>丹妮不是小猪</t>
  </si>
  <si>
    <t>作品以生活随拍与舞蹈创作为主，风格独特吸睛。舞蹈视频动作流畅、感染力强，生活分享真实有趣，能引发粉丝强烈共鸣。粉丝粘性高，互动积极，能为合作品牌带来高曝光与转化。</t>
  </si>
  <si>
    <t>nnnni520</t>
  </si>
  <si>
    <t>https://v.douyin.com/l9yMFgFF4Ic/</t>
  </si>
  <si>
    <t>https://www.xingtu.cn/ad/creator/author-homepage/douyin-video/7218220304135356471?market_track_id=T1HSWBAEXMH98GSH6MPV&amp;search_session_id=7550226290448875556&amp;possessStarId</t>
  </si>
  <si>
    <t>7218220304135356471</t>
  </si>
  <si>
    <t>小红书 视频号</t>
  </si>
  <si>
    <t>男：53.9%
女：46.1%</t>
  </si>
  <si>
    <t>18-23：57%
24-30：29.8%
31-40：10.2%</t>
  </si>
  <si>
    <t>Z世代：37.8%
新锐白领：15.9%
小镇青年：26.4%
精致妈妈：1.4%
资深中产：0.8%
都市蓝领：16.5%
小镇中老年：0.7%
都市银发：0.5%</t>
  </si>
  <si>
    <t>逆水寒、海尔</t>
  </si>
  <si>
    <t>一航</t>
  </si>
  <si>
    <t>短剧男主，剧情账号-无糖奶茶男主，内容以氛围感视频为主，颜值高，女粉占比高达83.3%，线上线下均拥有大量粉丝，粉丝忠诚度高，粘性强，能帮助品牌提升话题度；适合全品类植入；</t>
  </si>
  <si>
    <t>wh1999327327</t>
  </si>
  <si>
    <t>https://v.douyin.com/NYLLwJm/</t>
  </si>
  <si>
    <t>https://www.xingtu.cn/ad/creator/author-homepage/douyin-video/6870162821561204743?market_track_id=KL6TLOM9QJ0UCP1XH4IE&amp;search_session_id=7506430103665426443&amp;video_type=2&amp;_route_from=from_page%3DMarket%26search_session_id%3D7506430103665426443%26is_for_order%3D1%26market_track_id%3DKL6TLOM9QJ0UCP1XH4IE%26platform_source%3D1%26key%3D%25E4%25B8%2580%25E8%2588%25A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</si>
  <si>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6870162821561204743</t>
  </si>
  <si>
    <t>18-23：15.7%
24-30：29.3%
31-40：43.7%</t>
  </si>
  <si>
    <t>Z世代：12.5%
新锐白领：12.9%
小镇青年：26.7%
精致妈妈：15.4%
资深中产：5.9%
都市蓝领：19.3%
小镇中老年：5.1%
都市银发：2.2%</t>
  </si>
  <si>
    <t>泸州老窖、天友、大众速腾，极狐汽车、库迪咖啡、西门子冰箱、周大生、逆水寒、荒野行动、天友牛奶、全新速腾</t>
  </si>
  <si>
    <t>小葛</t>
  </si>
  <si>
    <t>东北爱健身的大男孩，身材好；擅长反差感变装，新锐白领占比高，适合各类产品植入</t>
  </si>
  <si>
    <t>xiaoge001216</t>
  </si>
  <si>
    <t>颜值、身材</t>
  </si>
  <si>
    <t>https://v.douyin.com/iDDaWpJE/ 8@1.com :1pm</t>
  </si>
  <si>
    <t>https://www.xingtu.cn/ad/creator/author-homepage/douyin-video/6870166999796809741?market_track_id=P73HQ4QJ099QMC8KICTS&amp;search_session_id=7506430366560682038&amp;video_type=2&amp;_route_from=from_page%3DMarket%26search_session_id%3D7506430366560682038%26is_for_order%3D1%26market_track_id%3DP73HQ4QJ099QMC8KICTS%26platform_source%3D1%26key%3D%25E8%258E%25AB%25E5%25BE%2597%25E6%2584%259F%25E6%2583%2585%25E7%259A%2584%25E5%25B0%258F%25E8%2591%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</si>
  <si>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6870166999796809741</t>
  </si>
  <si>
    <t>男：51.1%   
女：48.9%</t>
  </si>
  <si>
    <t>18-23：33%
24-30：35.4%
31-40：25.2%</t>
  </si>
  <si>
    <t>Z世代：21.5%
新锐白领：23.4%
小镇青年：24.8%
精致妈妈：6.5%
资深中产：2.9%
都市蓝领：17.3%
小镇中老年：2.3%
都市银发：1.3%</t>
  </si>
  <si>
    <t>小四四🍒</t>
  </si>
  <si>
    <t>颜值类达人，成熟优雅的知性魅力，通过传达及妆容展示自己的心得。</t>
  </si>
  <si>
    <t>Siye0826</t>
  </si>
  <si>
    <t>https://v.douyin.com/i6jrprmo/ 5@2.com</t>
  </si>
  <si>
    <t>https://www.xingtu.cn/ad/creator/author-homepage/douyin-video/6611303266019966990?market_track_id=YZBLXF6ASWYQTM5LXYSG&amp;search_session_id=7506430525411033127&amp;video_type=2&amp;_route_from=from_page%3DMarket%26search_session_id%3D7506430525411033127%26is_for_order%3D1%26market_track_id%3DYZBLXF6ASWYQTM5LXYSG%26platform_source%3D1%26key%3D%25E5%25B0%258F%25E5%259B%259B%25E5%259B%259B%25F0%259F%258D%2592%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</si>
  <si>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6611303266019966990</t>
  </si>
  <si>
    <t>男：10.3%
女：89.7%</t>
  </si>
  <si>
    <t>18-23：71.4%
24-30：19.9%
31-40：4.4%</t>
  </si>
  <si>
    <t>Z世代：41.3%
新锐白领：9.6%
小镇青年：24.9%
精致妈妈：3.3%
资深中产：0.6%
都市蓝领：17.9%
小镇中老年：1.4%
都市银发：1%</t>
  </si>
  <si>
    <t>抖音好物节、鲜菲乐、可颂</t>
  </si>
  <si>
    <t>木 木</t>
  </si>
  <si>
    <t>情侣账号女主角，颜值类达人，适合行业：美妆、服饰、游戏等</t>
  </si>
  <si>
    <t>satrll</t>
  </si>
  <si>
    <t>https://v.douyin.com/iM2BnUWc/</t>
  </si>
  <si>
    <t>https://www.xingtu.cn/ad/creator/author-homepage/douyin-video/6870162722948907021?market_track_id=HX3UZTZFFZ2VYM5FWXQU&amp;search_session_id=7506430716956622889&amp;video_type=2&amp;_route_from=from_page%3DMarket%26search_session_id%3D7506430716956622889%26is_for_order%3D1%26market_track_id%3DHX3UZTZFFZ2VYM5FWXQU%26platform_source%3D1%26key%3D%25E6%259C%25A8%2B%25E6%259C%25A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</si>
  <si>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6870162722948907021</t>
  </si>
  <si>
    <t>男：71.7%
女：28.3%</t>
  </si>
  <si>
    <t>18-23：77.8%
24-30：8.3%
31-40：5.2%</t>
  </si>
  <si>
    <t>Z世代：65.4%
新锐白领：2.5%
小镇青年：25.2%
精致妈妈：0.2%
资深中产：0.4%
都市蓝领：5.1%
小镇中老年：0.7%
都市银发：0.6%</t>
  </si>
  <si>
    <t>敢敢</t>
  </si>
  <si>
    <t>达人气质独特，或甜美可爱，或冷艳高贵，或清新自然，能够根据不同的视频主题和服装造型，展现出多样的风格，为粉丝带来不一样的视觉体验，能满足不同客户的需求。</t>
  </si>
  <si>
    <t>bk20010531</t>
  </si>
  <si>
    <t>颜值、日常</t>
  </si>
  <si>
    <t>https://v.douyin.com/iLnrNjSN/</t>
  </si>
  <si>
    <t>https://www.xingtu.cn/ad/creator/author-homepage/douyin-video/6870161289092530183?market_track_id=QPV4PC1JHVHA8GSUK8Z0&amp;search_session_id=7506430889400893459&amp;video_type=2&amp;_route_from=from_page%3DMarket%26search_session_id%3D7506430889400893459%26is_for_order%3D1%26market_track_id%3DQPV4PC1JHVHA8GSUK8Z0%26platform_source%3D1%26key%3D%25E6%2595%25A2%25E6%2595%25A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</si>
  <si>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6870161289092530183</t>
  </si>
  <si>
    <t>男：84.5%
女：15.5%</t>
  </si>
  <si>
    <t>18-23：58.1%
24-30：30.3%
31-40：8.8%</t>
  </si>
  <si>
    <t>Z世代：38.5%
新锐白领：20.4%
小镇青年：21.9%
精致妈妈：0.7%
资深中产：0.7%
都市蓝领：16.4%
小镇中老年：0.7%
都市银发：0.6%</t>
  </si>
  <si>
    <t>YSL、海昌、moody美瞳、尊尼获加、雀巢、兰蔻、劲酒、青岛啤酒、</t>
  </si>
  <si>
    <t>小蒋同学</t>
  </si>
  <si>
    <t>形象亲切自然，视频风格真实接地气，能与观众建立良好的情感连接。其粉丝群体活跃度较高，对内容的接受度和信任度也较高，适合品牌通过他来进行产品推广和品牌宣传。</t>
  </si>
  <si>
    <t>颜值、健身</t>
  </si>
  <si>
    <t>https://v.douyin.com/l48-W0BWH2c/</t>
  </si>
  <si>
    <t>https://www.xingtu.cn/ad/creator/author-homepage/douyin-video/7488959372198936602?market_track_id=VWMFFQNDTW0BCBDHKNN4&amp;search_session_id=7506431099029028876&amp;video_type=2&amp;_route_from=from_page%3DMarket%26search_session_id%3D7506431099029028876%26is_for_order%3D1%26market_track_id%3DVWMFFQNDTW0BCBDHKNN4%26platform_source%3D1%26key%3D%25E5%25B0%258F%25E8%2592%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</si>
  <si>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7488959372198936602</t>
  </si>
  <si>
    <t>男：51.9%
女：48.1%</t>
  </si>
  <si>
    <t>18-23：53%
24-30：23.8%
31-40：12.6%</t>
  </si>
  <si>
    <t>Z世代：43.8%
新锐白领：14.9%
小镇青年：22.7%
精致妈妈：1.6%
资深中产：1.8%
都市蓝领：11.3%
小镇中老年：2%
都市银发：1.9%</t>
  </si>
  <si>
    <t>妍甄sama</t>
  </si>
  <si>
    <t>可甜可盐的漂亮妹妹，能演能舞的全能girl</t>
  </si>
  <si>
    <t>yanzhensama</t>
  </si>
  <si>
    <t>https://v.douyin.com/RNPgvkV/</t>
  </si>
  <si>
    <t>https://www.xingtu.cn/ad/creator/author-homepage/douyin-video/6870159990577954824?market_track_id=T8BAMZBOBD6Z18OE3R93&amp;search_session_id=7506431138102444051&amp;video_type=2&amp;_route_from=from_page%3DMarket%26search_session_id%3D7506431138102444051%26is_for_order%3D1%26market_track_id%3DT8BAMZBOBD6Z18OE3R93%26platform_source%3D1%26key%3D%25E5%25A6%258D%25E7%2594%2584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</si>
  <si>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6870159990577954824</t>
  </si>
  <si>
    <t>男：87.6%
女：12.4%</t>
  </si>
  <si>
    <t>18-23：72.6%
24-30：20.2%
31-40：4.5%</t>
  </si>
  <si>
    <t>Z世代：52.7%
新锐白领：10.1%
小镇青年：25.6%
精致妈妈：0.2%
资深中产：0.3%
都市蓝领：10.5%
小镇中老年：0.3%
都市银发：0.2%</t>
  </si>
  <si>
    <t>探探、HMD</t>
  </si>
  <si>
    <t>【美妆护肤】</t>
  </si>
  <si>
    <t>金陵奇怪的烧饼</t>
  </si>
  <si>
    <t>校园妆容改造达人，一句“这是张若好”，带各位观众和粉丝走进她的美妆时间</t>
  </si>
  <si>
    <t>美妆改造</t>
  </si>
  <si>
    <t>https://v.douyin.com/iJPnedXN/</t>
  </si>
  <si>
    <t>https://www.xingtu.cn/ad/creator/author-homepage/douyin-video/7060481079546740749?market_track_id=2WEXY9CC3S5R884QCM1F&amp;search_session_id=7506420928160284711&amp;video_type=2&amp;_route_from=from_page%3DMarket%26search_session_id%3D7506420928160284711%26is_for_order%3D1%26market_track_id%3D2WEXY9CC3S5R884QCM1F%26platform_source%3D1%26key%3D%25E9%2587%2591%25E9%2599%25B5%25E5%25A5%2587%25E6%2580%25AA%25E7%259A%2584%25E7%2583%25A7%25E9%25A5%25B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</si>
  <si>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7060481079546740749</t>
  </si>
  <si>
    <t>男：21.1%
女：78.9%</t>
  </si>
  <si>
    <t>18-23：66%
24-30：8.8%
31-40：10.3%</t>
  </si>
  <si>
    <t>Z世代：61.7%
新锐白领：3.6%
小镇青年：24.5%
精致妈妈：0.7%
资深中产：1.1%
都市蓝领：4.7%
小镇中老年：1.8%
都市银发：1.9%</t>
  </si>
  <si>
    <t>MAC、OLAY、施华蔻、欧莱雅、得物、ubras、淘宝、OPPO、京东、理肤泉、花西子、丝芙兰、MAC、拼多多、适乐肤</t>
  </si>
  <si>
    <t>张什什</t>
  </si>
  <si>
    <t>美妆达人，能驾驭多种美妆风格，满足观众多样化审美需求，同时也能推荐用户找到适合的产品。</t>
  </si>
  <si>
    <t>qn20010531</t>
  </si>
  <si>
    <t>美妆 好物分享</t>
  </si>
  <si>
    <t>https://v.douyin.com/iLnMvpHr/</t>
  </si>
  <si>
    <t>https://www.xingtu.cn/ad/creator/author-homepage/douyin-video/6629660072450457603?market_track_id=JME3Y2ESKQDD9EPJYTQN&amp;search_session_id=7506420419478552587&amp;video_type=2&amp;_route_from=from_page%3DMarket%26search_session_id%3D7506420419478552587%26is_for_order%3D1%26market_track_id%3DJME3Y2ESKQDD9EPJYTQN%26platform_source%3D1%26key%3D%25E5%25BC%25A0%25E4%25BB%2580%25E4%25BB%2580%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</si>
  <si>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6629660072450457603</t>
  </si>
  <si>
    <t>男：82.5%
女：17.5%</t>
  </si>
  <si>
    <t>18-23：51.9%
24-30：33.7%
31-40：11.1%</t>
  </si>
  <si>
    <t>Z世代：31.2%
新锐白领：28%
小镇青年：19.9%
精致妈妈：0.9%
资深中产：0.9%
都市蓝领：17.4%
小镇中老年：0.9%
都市银发：0.9%</t>
  </si>
  <si>
    <t>雅诗兰黛、TF、YSL、植村秀、海蓝之谜、卡诗、戴森、有棵树、欧莱雅、HBN、艾维岚、华为</t>
  </si>
  <si>
    <t>张若好</t>
  </si>
  <si>
    <t>高能量女大学生、精通各种化妆技能、日常分享各种彩妆护肤穿搭好物，氛围感变装小美女。
粉丝人群精准，主要以年轻女性为主，大学生居多。尤其适合各种平价变美产品。
内容数据好、性价比高、粉丝粘性很高，连接用户及粉丝持续增长中，有一定带货属性。</t>
  </si>
  <si>
    <t>美妆 购物分享</t>
  </si>
  <si>
    <t>https://v.douyin.com/iJPnXVxk/</t>
  </si>
  <si>
    <t>https://www.xingtu.cn/ad/creator/author-homepage/douyin-video/7180709870071447609?market_track_id=PIEB08Z2JMFWPHSRFLIW&amp;search_session_id=7506421047202578443&amp;video_type=2&amp;_route_from=from_page%3DMarket%26search_session_id%3D7506421047202578443%26is_for_order%3D1%26market_track_id%3DPIEB08Z2JMFWPHSRFLIW%26platform_source%3D1%26key%3D%25E5%25BC%25A0%25E8%258B%25A5%25E5%25A5%25B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</si>
  <si>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7180709870071447609</t>
  </si>
  <si>
    <t>合集单坑18000</t>
  </si>
  <si>
    <t>男：16.5%
女：83.5%</t>
  </si>
  <si>
    <t>18-23：75%
24-30：8.2%
31-40：8%</t>
  </si>
  <si>
    <t>Z世代：64.8%
新锐白领：4.2%
小镇青年：23%
精致妈妈：1.3%
资深中产：1%
都市蓝领：4%
小镇中老年：1%
都市银发：0.7%</t>
  </si>
  <si>
    <t>彩棠、七度空间、膜法世家、瑷尔博士、法珀、珂润、谷雨、雕牌、心相印、可啦啦美瞳、</t>
  </si>
  <si>
    <t>【段子/生活】</t>
  </si>
  <si>
    <t>我是小程同学</t>
  </si>
  <si>
    <t>头部博主，烟嗓美女小程在线玩梗，颜值与搞笑并存，视频风格多样，达人表现能力极强，内容创意十足。产品植入内容场景丰富，数据优秀，适合全品类植入。</t>
  </si>
  <si>
    <t>A299_299</t>
  </si>
  <si>
    <t>颜值 搞笑</t>
  </si>
  <si>
    <t>https://v.douyin.com/ieJE8VSW/</t>
  </si>
  <si>
    <t>https://www.xingtu.cn/ad/creator/author-homepage/douyin-video/6765376911481765895?market_track_id=1KKSMRVM7CQC1GZEHIJS&amp;search_session_id=7506421245673291830&amp;video_type=2&amp;_route_from=from_page%3DMarket%26search_session_id%3D7506421245673291830%26is_for_order%3D1%26market_track_id%3D1KKSMRVM7CQC1GZEHIJS%26platform_source%3D1%26key%3D%25E6%2588%2591%25E6%2598%25AF%25E5%25B0%258F%25E7%25A8%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</si>
  <si>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6765376911481765895</t>
  </si>
  <si>
    <t>男 ：75.1%
女 ：24.9%</t>
  </si>
  <si>
    <t>18-23：39.1%
24-30：31.1%
31-40：21%</t>
  </si>
  <si>
    <t>Z世代：31.7%
新锐白领：12.9%
小镇青年：26%
精致妈妈：1.4%
资深中产：1.7%
都市蓝领：21.2%
小镇中老年：2.8%
都市银发：2.3%</t>
  </si>
  <si>
    <t>小米、伊利、无畏契约、奇瑞、名创优品、宝骏悦也、梦幻西游、五菱、三角洲行动、OPPO、苏菲、永劫无间、蛋仔派对、百事可乐</t>
  </si>
  <si>
    <t>重庆/成都</t>
  </si>
  <si>
    <t>热门
账号</t>
  </si>
  <si>
    <t>麦小兜</t>
  </si>
  <si>
    <t>自出道以来，勇于大胆尝试多元化曲风的演绎和突破，如甜美路线的《ok歌》，二次元向的《猪猪女孩》，都取得不错的成绩。在她推出个人单曲《9420》后，更凭借其甜美动人的声线和可爱的个人形象，短期内便吸引了众多粉丝的关注和支持。</t>
  </si>
  <si>
    <t>Yolo21Dou</t>
  </si>
  <si>
    <t>日常、段子</t>
  </si>
  <si>
    <t>https://v.douyin.com/9AFkA0NTkFQ/</t>
  </si>
  <si>
    <t>https://www.xingtu.cn/ad/creator/author-homepage/douyin-video/6629722298792280068?market_track_id=ALE4EJ3WE9UOCFVX4NC4&amp;search_session_id=7532380290833645604&amp;possessStarId</t>
  </si>
  <si>
    <t>6629722298792280068</t>
  </si>
  <si>
    <t>男 ：75.6%
女 ：24.4%</t>
  </si>
  <si>
    <t>18-23：49.3%
24-30：28.8%
31-40：14%</t>
  </si>
  <si>
    <t>Z世代：35.8%
新锐白领：11.2%
小镇青年：26.5%
精致妈妈：1.1%
资深中产：1.1%
都市蓝领：19.9%
小镇中老年：2.2%
都市银发：2.1%</t>
  </si>
  <si>
    <t>北鼻小天</t>
  </si>
  <si>
    <t>阳光正能量的颜值博主，众多的男粉占比，其作品围绕“忠于快乐，好好生活”的主题展开，传递出积极向上的生活态度和价值观。达人配合度高，合作过王者、即山川发泥、白荆回廊、李未可AR眼镜、moody、realme真我手机、TF、原神启动、梦幻西游等品牌</t>
  </si>
  <si>
    <t>TianT0625</t>
  </si>
  <si>
    <t>颜值、搞笑</t>
  </si>
  <si>
    <t>https://v.douyin.com/S2jDbCK/</t>
  </si>
  <si>
    <t>https://www.xingtu.cn/ad/creator/author-homepage/douyin-video/6870170834816729101?market_track_id=SXJQ9HB0BYQ19L881TOF&amp;search_session_id=7506429719941808191&amp;video_type=2&amp;_route_from=from_page%3DMarket%26search_session_id%3D7506429719941808191%26is_for_order%3D1%26market_track_id%3DSXJQ9HB0BYQ19L881TOF%26platform_source%3D1%26key%3D%25E5%258C%2597%25E9%25BC%25BB%25E5%25B0%258F%25E5%25A4%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</si>
  <si>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6870170834816729101</t>
  </si>
  <si>
    <t>男 ：85.8%
女 ：14.2%</t>
  </si>
  <si>
    <t>18-23：44.6%
24-30：24.4%
31-40：18%</t>
  </si>
  <si>
    <t>z世代：43.3%
小镇青年：24%
精致妈妈：0.7%
新锐白领：9.6%
都市蓝领：15.2%
小镇中老年：2.8%
资深中产：1.5%
都市银发：2.9%</t>
  </si>
  <si>
    <t>王者、moody、realme真我手机、TF、原神、梦幻西游、长安深蓝、奇瑞icar、得物</t>
  </si>
  <si>
    <t>侯博_</t>
  </si>
  <si>
    <t>内容播放、互动数据亮眼，传播力强。视频风格独特，垂直深耕，对粉丝吸引力大。沟通配合度高，创意能力出众，能完美契合需求，产出优质内容，是合作的不二之选。</t>
  </si>
  <si>
    <t>houbo0024</t>
  </si>
  <si>
    <t>段子、搞笑</t>
  </si>
  <si>
    <t>https://v.douyin.com/i5boShFY/</t>
  </si>
  <si>
    <t>https://www.xingtu.cn/ad/creator/author-homepage/douyin-video/6818363824530259981?market_track_id=GAK8PLETEK3HVV75L1IZ&amp;search_session_id=7506421950762696715&amp;video_type=2&amp;_route_from=from_page%3DMarket%26search_session_id%3D7506421950762696715%26is_for_order%3D1%26market_track_id%3DGAK8PLETEK3HVV75L1IZ%26platform_source%3D1%26key%3D%25E4%25BE%25AF%25E5%258D%259A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</si>
  <si>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6818363824530259981</t>
  </si>
  <si>
    <t>男：34.7%
女：65.3%</t>
  </si>
  <si>
    <t>18-23：36.5%
31-40：23%
50+：24.3%</t>
  </si>
  <si>
    <t>Z世代：52.4%
新锐白领：2.9%
小镇青年：27%
精致妈妈：1.2%
资深中产：1.5%
都市蓝领：8.2%
小镇中老年：3.6%
都市银发：3.2%</t>
  </si>
  <si>
    <t>usmile、麦当劳、淘宝、可爱多、林里柠檬茶、脉动、芬达、美团、肯德基</t>
  </si>
  <si>
    <t>九九我啊-</t>
  </si>
  <si>
    <t>视频以搞笑的日常生活为主要创作方向，幽默风趣的展现方式极易引发观众的共鸣和欢乐，这种轻松诙谐的内容氛围能够为合作品牌营造出亲民、活泼的形象，有效拉近品牌与消费者的距离，使品牌推广更具亲和力。
观众年龄集中在 18-23 岁（28.8%）和 24 - 30 岁（50.4%），多分布于湖南、广东、浙江等省份。这部分年轻且具有一定消费能力的粉丝群体，对于食品饮料、3C 及电器、本地生活、汽车、工具类软件、餐饮服务等行业的产品有着较高的兴趣和需求，能够为相关品牌提供精准的营销受众，极大提高品牌推广的转化率。</t>
  </si>
  <si>
    <t>zhangnv99</t>
  </si>
  <si>
    <t>https://v.douyin.com/iSSP2279/ 2@2.com</t>
  </si>
  <si>
    <t>https://www.xingtu.cn/ad/creator/author-homepage/douyin-video/6843212354792980493?market_track_id=RG69PPQ1KDPGXJYV1UTS&amp;search_session_id=7506421678910603318&amp;video_type=2&amp;_route_from=from_page%3DMarket%26search_session_id%3D7506421678910603318%26is_for_order%3D1%26market_track_id%3DRG69PPQ1KDPGXJYV1UTS%26platform_source%3D1%26key%3D%25E4%25B9%259D%25E4%25B9%259D%25E6%2588%2591%25E5%2595%258A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</si>
  <si>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6843212354792980493</t>
  </si>
  <si>
    <t>男：83.2%
女：16.8%</t>
  </si>
  <si>
    <t>18-23：32.6%
24-30：29.2%
31-40：16.4%</t>
  </si>
  <si>
    <t>Z世代：22.5%
新锐白领：21.1%
小镇青年：18%
精致妈妈：0.7%
资深中产：1.5%
都市蓝领：17.7%
小镇中老年：8%
都市银发：10.4%</t>
  </si>
  <si>
    <t>helens、豆包app、百加得、RIO、书亦烧仙草、百利得、雪碧、果汁源、KKV、小郎酒、元气森林、百加得</t>
  </si>
  <si>
    <t>长沙</t>
  </si>
  <si>
    <t>盆盆Penny</t>
  </si>
  <si>
    <t>丰富的情感表达，使得博主有众多男性粉丝关注，在忙碌的生活中找到一丝慰藉和共鸣</t>
  </si>
  <si>
    <t>Penny1204</t>
  </si>
  <si>
    <t>情感、段子</t>
  </si>
  <si>
    <t>https://v.douyin.com/iN7QSUQs/</t>
  </si>
  <si>
    <t>https://www.xingtu.cn/ad/creator/author-homepage/douyin-video/6870160454354731015?market_track_id=2K9YKN4UJSJFEZ6K43DR&amp;search_session_id=7506423935655821353&amp;video_type=2&amp;_route_from=from_page%3DMarket%26search_session_id%3D7506423935655821353%26is_for_order%3D1%26market_track_id%3D2K9YKN4UJSJFEZ6K43DR%26platform_source%3D1%26key%3D%25E7%259B%2586%25E7%259B%2586Penny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</si>
  <si>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6870160454354731015</t>
  </si>
  <si>
    <t>男 ：44.3%
女 ：55.7%</t>
  </si>
  <si>
    <t>18-23：20.5%
24-30：39.2%
31-40：34.5%</t>
  </si>
  <si>
    <t>z世代：11.7%
小镇青年：30.5%
精致妈妈：7.2%
新锐白领：15.8%
都市蓝领：28.3%
小镇中老年：2.7%
资深中产：2.5%
都市银发：1.2%</t>
  </si>
  <si>
    <t>小西米app</t>
  </si>
  <si>
    <t>小蒙古腾宝</t>
  </si>
  <si>
    <t>内容主要为段子解说、事件分析等，口播类博主，男粉高达91.5%，有消费能力粉丝占比高，适合植入游戏、酒水、app等品类；</t>
  </si>
  <si>
    <t>段子、解说</t>
  </si>
  <si>
    <t>https://v.douyin.com/hVkL42J/</t>
  </si>
  <si>
    <t>https://www.xingtu.cn/ad/creator/author-homepage/douyin-video/6870159877965086734?market_track_id=4VLAYHOU7P7TO6W8HL99&amp;search_session_id=7506423946146332711&amp;video_type=2&amp;_route_from=from_page%3DMarket%26search_session_id%3D7506423946146332711%26is_for_order%3D1%26market_track_id%3D4VLAYHOU7P7TO6W8HL99%26platform_source%3D1%26key%3D%25E5%25B0%258F%25E8%2592%2599%25E5%258F%25A4%25E8%2585%25BE%25E5%25AE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</si>
  <si>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6870159877965086734</t>
  </si>
  <si>
    <t>男：84.6%
女：15.4%</t>
  </si>
  <si>
    <t>18-23：32%
24-30：30.5%
31-40：28.4%</t>
  </si>
  <si>
    <t>Z世代：22%
新锐白领：24.9%
小镇青年：24.1%
精致妈妈：2.6%
资深中产：4.5%
都市蓝领：16.6%
小镇中老年：3.2%
都市银发：2.1%</t>
  </si>
  <si>
    <t>三国、天地劫、饿了么</t>
  </si>
  <si>
    <t>一根藤上五朵花</t>
  </si>
  <si>
    <t>校园搞笑日常内容，轻松解压的下饭内容，让你在繁忙的工作中能喘口气，植入场景丰富、空间大；女粉占比61.9%；适合全品类品牌植入</t>
  </si>
  <si>
    <t>wuduohuahua</t>
  </si>
  <si>
    <t>剧情、搞笑</t>
  </si>
  <si>
    <t>https://v.douyin.com/FSHKXaa/</t>
  </si>
  <si>
    <t>https://www.xingtu.cn/ad/creator/author-homepage/douyin-video/7054120952338055205?market_track_id=FKDIAR06NAK77FX5SDBW&amp;search_session_id=7506424158482841612&amp;video_type=2&amp;_route_from=from_page%3DMarket%26search_session_id%3D7506424158482841612%26is_for_order%3D1%26market_track_id%3DFKDIAR06NAK77FX5SDBW%26platform_source%3D1%26key%3D%25E4%25B8%2580%25E6%25A0%25B9%25E8%2597%25A4%25E4%25B8%258A%25E4%25BA%2594%25E6%259C%25B5%25E8%258A%25B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</si>
  <si>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7054120952338055205</t>
  </si>
  <si>
    <t>男：42.7%
女：57.3%</t>
  </si>
  <si>
    <t>18-23：54.1%
24-30：20.7%
31-40：13.9%</t>
  </si>
  <si>
    <t>Z世代：42.5%
新锐白领：8.7%
小镇青年：25.7%
精致妈妈：2.4%
资深中产：1.2%
都市蓝领：13%
小镇中老年：3.2%
都市银发：3.3%</t>
  </si>
  <si>
    <t>蛋仔派对、新奇士</t>
  </si>
  <si>
    <t>南京</t>
  </si>
  <si>
    <t>一个幽灵</t>
  </si>
  <si>
    <t>以幽默有趣的段子方式，解说演绎曾经让人刻骨铭心的历史场景，达人配合度高，专业性强，适合食品饮料、3C数码、游戏等植入。</t>
  </si>
  <si>
    <t>解说、段子</t>
  </si>
  <si>
    <t>https://v.douyin.com/ijjdY42F/</t>
  </si>
  <si>
    <t>https://www.xingtu.cn/ad/creator/author-homepage/douyin-video/7313479684807720997?market_track_id=ALH7D0J6JFUEFDK6KAID&amp;search_session_id=7506424265248751679&amp;video_type=2&amp;_route_from=from_page%3DMarket%26search_session_id%3D7506424265248751679%26is_for_order%3D1%26market_track_id%3DALH7D0J6JFUEFDK6KAID%26platform_source%3D1%26key%3D%25E4%25B8%2580%25E4%25B8%25AA%25E5%25B9%25BD%25E7%2581%25B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</si>
  <si>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7313479684807720997</t>
  </si>
  <si>
    <t>男 ：79.2%
女 ：20.8%</t>
  </si>
  <si>
    <t>18-23：50.5%
24-30：21.6%
31-40：16.3%</t>
  </si>
  <si>
    <t>Z世代：40.4%
新锐白领：14.9%
小镇青年：22.1%
精致妈妈：2%
资深中产：2.7%
都市蓝领：12.1%
小镇中老年：3.1%
都市银发：2.8%</t>
  </si>
  <si>
    <t>豆包APP、QCY耳机、转转、三国志、爱回收、逆水寒、58同城、永劫无间</t>
  </si>
  <si>
    <t>【情侣生活】</t>
  </si>
  <si>
    <t>三千企鹅</t>
  </si>
  <si>
    <t>高颜值情侣，主打生活体验式内容，打造了多条爆款，女粉占比66.7%，目前合作生活食品，汽车类较多，适合全品类植入</t>
  </si>
  <si>
    <t>77777774_</t>
  </si>
  <si>
    <t>https://v.douyin.com/JGoHUQ1/</t>
  </si>
  <si>
    <t>https://www.xingtu.cn/ad/creator/author-homepage/douyin-video/6602513255774552072?market_track_id=PTF8N8NPVNQT7WK3HW8Y&amp;search_session_id=7506424333159333907&amp;video_type=2&amp;_route_from=from_page%3DMarket%26search_session_id%3D7506424333159333907%26is_for_order%3D1%26market_track_id%3DPTF8N8NPVNQT7WK3HW8Y%26platform_source%3D1%26key%3D%25E4%25B8%2589%25E5%258D%2583%25E4%25BC%2581%25E9%25B9%2585%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</si>
  <si>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6602513255774552072</t>
  </si>
  <si>
    <t>男：60.3%   
女：39.7%</t>
  </si>
  <si>
    <t>18-23；44.5% 24-30；26.4% 31-40；21.4%</t>
  </si>
  <si>
    <t>Z世代：39.7%
新锐白领：11.1%
小镇青年：24.3%
精致妈妈：1%
资深中产：2.2%
都市蓝领：18.4%
小镇中老年：2.2%
都市银发：1.2%</t>
  </si>
  <si>
    <t>康师傅、乐堡啤酒、五菱宏光、华为、美年达、华为、智己、广汽埃安、海尔、苹果、百事可乐</t>
  </si>
  <si>
    <t>晨晓义</t>
  </si>
  <si>
    <t>堪称生活中的 “幽默核弹”，总能从情侣间的平凡日常里挖掘出令人捧腹的笑点。内容覆盖“搞笑+甜蜜”双线。</t>
  </si>
  <si>
    <t>情侣、日常</t>
  </si>
  <si>
    <t>https://v.douyin.com/AvYkCxx/</t>
  </si>
  <si>
    <t>https://www.xingtu.cn/ad/creator/author-homepage/douyin-video/6733529818639368206?market_track_id=WRTIL1B1HTNDE90QY48O&amp;search_session_id=7506424351446384681&amp;video_type=2&amp;_route_from=from_page%3DMarket%26search_session_id%3D7506424351446384681%26is_for_order%3D1%26market_track_id%3DWRTIL1B1HTNDE90QY48O%26platform_source%3D1%26key%3D%25E6%2599%25A8%25E6%2599%2593%25E4%25B9%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</si>
  <si>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6733529818639368206</t>
  </si>
  <si>
    <t>男：68%
女：32%</t>
  </si>
  <si>
    <t>18-23：19.6%
24-30：22.7%
31-40：28.2%</t>
  </si>
  <si>
    <t>Z世代：17.6%
新锐白领：9.7%
小镇青年：25.4%
精致妈妈：1.9%
资深中产：3%
都市蓝领：19.5%
小镇中老年：10.5%
都市银发：12.3%</t>
  </si>
  <si>
    <t>得物、肯德基、荣威、广汽丰田、吉列剃须刀、小奥汀、膜法世家、DNF、美团、传祺、smart、别克、沱牌、乐事</t>
  </si>
  <si>
    <t>北京</t>
  </si>
  <si>
    <t>阿然</t>
  </si>
  <si>
    <t>视频内容丰富，从甜蜜日常到创意挑战，全方位展现情侣生活的多彩。情感真挚自然，互动温馨有爱，能让观众真切感受到爱情的美好。且善于创新，不断推陈出新，为粉丝带来源源不断的新鲜感，成为众多情侣向往的榜样。</t>
  </si>
  <si>
    <t>https://v.douyin.com/iM2Se3jJ/</t>
  </si>
  <si>
    <t>https://www.xingtu.cn/ad/creator/author-homepage/douyin-video/6870164208189702152?market_track_id=GYOH9VBY438XLHVY0MNI&amp;search_session_id=7506424359243661351&amp;video_type=2&amp;_route_from=from_page%3DMarket%26search_session_id%3D7506424359243661351%26is_for_order%3D1%26market_track_id%3DGYOH9VBY438XLHVY0MNI%26platform_source%3D1%26key%3D%25E9%2598%25BF%25E7%2584%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</si>
  <si>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6870164208189702152</t>
  </si>
  <si>
    <t>男：79.6%
女：20.4%</t>
  </si>
  <si>
    <t>18-23：78.1%
24-30：7.6%
31-40：5.2%</t>
  </si>
  <si>
    <t>Z世代：65.8%
新锐白领：2.9%
小镇青年：24.7%
精致妈妈：0.2%
资深中产：0.5%
都市蓝领：4.5%
小镇中老年：0.8%
都市银发：0.6%</t>
  </si>
  <si>
    <t>天气丹、得物、阿玛尼、1664、奔腾、太平鸟、王者荣耀、支付宝、杰士邦、DR</t>
  </si>
  <si>
    <t>谢潇羽x</t>
  </si>
  <si>
    <t>形象帅气，情感细腻，通过有趣的剧情、独特的拍摄手法和精心的剪辑，将情侣间的生活点滴展现得生动有趣。这些内容不仅能吸引粉丝的关注，还为广告植入提供了丰富的场景和机会。。</t>
  </si>
  <si>
    <t>xxy1129y</t>
  </si>
  <si>
    <t>https://v.douyin.com/dHJh1Q1/</t>
  </si>
  <si>
    <t>https://www.xingtu.cn/ad/creator/author-homepage/douyin-video/6808450102416375815?market_track_id=DN5LLR9P9Q9B1MGJYRAO&amp;search_session_id=7506424596179763254&amp;video_type=2&amp;_route_from=from_page%3DMarket%26search_session_id%3D7506424596179763254%26is_for_order%3D1%26market_track_id%3DDN5LLR9P9Q9B1MGJYRAO%26platform_source%3D1%26key%3D%25E8%25B0%25A2%25E6%25BD%2587%25E7%25BE%25BDx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</si>
  <si>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6808450102416375815</t>
  </si>
  <si>
    <t>男：17.1%
女：82.9%</t>
  </si>
  <si>
    <t>18-23：53.1%
24-30：28.1%
31-40：12.1%</t>
  </si>
  <si>
    <t>Z世代：37.6%
新锐白领：11.4%
小镇青年：25.1%
精致妈妈：5.5%
资深中产：1%
都市蓝领：15.9%
小镇中老年：1.8%
都市银发：1.8%</t>
  </si>
  <si>
    <t>追觅、得物 、比亚迪、MG7、柠季、佳得乐、心相印、荣耀、比亚迪、杜蕾斯、范琦、雪花啤酒、</t>
  </si>
  <si>
    <t>你的最佳男友</t>
  </si>
  <si>
    <t>专注记录情侣间的甜蜜互动，以日常生活为素材，为用户带来了积极的情感价值。</t>
  </si>
  <si>
    <t>zy000222</t>
  </si>
  <si>
    <t>https://v.douyin.com/i3omXSR/</t>
  </si>
  <si>
    <t>https://www.xingtu.cn/ad/creator/author-homepage/douyin-video/6870161001908535304?market_track_id=S836WFJCQGHOKPFU5EXZ&amp;search_session_id=7506424794557120551&amp;video_type=2&amp;_route_from=from_page%3DMarket%26search_session_id%3D7506424794557120551%26is_for_order%3D1%26market_track_id%3DS836WFJCQGHOKPFU5EXZ%26platform_source%3D1%26key%3D%25E4%25BD%25A0%25E7%259A%2584%25E6%259C%2580%25E4%25BD%25B3%25E7%2594%25B7%25E5%258F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</si>
  <si>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6870161001908535304</t>
  </si>
  <si>
    <t>男：50.8%
女：49.2%</t>
  </si>
  <si>
    <t>18-23：70.7%
24-30：11.6%
31-40：6.6%</t>
  </si>
  <si>
    <t>Z世代：62%
新锐白领：5%
小镇青年：21.6%
精致妈妈：0.8%
资深中产：0.7%
都市蓝领：6.7%
小镇中老年：1.5%
都市银发：1.6%</t>
  </si>
  <si>
    <t>DR、飞鹤、天涯明月刀手游、得物、德克士、曼秀雷敦、奥利奥、1664、卡拉比丘</t>
  </si>
  <si>
    <t>【日常/vlog】</t>
  </si>
  <si>
    <t>北方姑娘（糖糖）</t>
  </si>
  <si>
    <t>东北家庭生活在成都，一个活宝女儿和她不扫兴的爸妈，家庭场景，逗趣生活，方便各品类植入</t>
  </si>
  <si>
    <t>日常</t>
  </si>
  <si>
    <t>https://v.douyin.com/iLb8hLmv/</t>
  </si>
  <si>
    <t>https://www.xingtu.cn/ad/creator/author-homepage/douyin-video/6629665882937229325?market_track_id=ADFREOQU9K4XJ1E1ZMOD&amp;search_session_id=7506424794557890599&amp;video_type=2&amp;_route_from=from_page%3DMarket%26search_session_id%3D7506424794557890599%26is_for_order%3D1%26market_track_id%3DADFREOQU9K4XJ1E1ZMOD%26platform_source%3D1%26key%3D%25E5%258C%2597%25E6%2596%25B9%25E5%25A7%2591%25E5%25A8%2598%25EF%25BC%2588%25E7%25B3%2596%25E7%25B3%2596%25EF%25BC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</si>
  <si>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6629665882937229325</t>
  </si>
  <si>
    <t>男：38.5%
女：61.5%</t>
  </si>
  <si>
    <t>18-23：32%
24-30：26.4%
31-40：28%</t>
  </si>
  <si>
    <t>Z世代：24.9%
新锐白领：12.2%
小镇青年：25.9%
精致妈妈：4.5%
资深中产：3.6%
都市蓝领：20%
小镇中老年：5.1%
都市银发：3.8%</t>
  </si>
  <si>
    <t>京东、雪佛兰、大众、麦当劳、乐事、伊利、徕芬、松下、欧莱雅、伊利、燕之屋、华为、赫莲娜、伊利金典、海尔</t>
  </si>
  <si>
    <t>赛罗的宝贝</t>
  </si>
  <si>
    <t>vlog日常类达人；内容输出，会使得账号有很强的粉丝粘性；能够精准地吸引到这部分年轻受众，满足他们对于娱乐、社交和情感共鸣的需求</t>
  </si>
  <si>
    <t>6666666niua</t>
  </si>
  <si>
    <t>家庭、日常</t>
  </si>
  <si>
    <t>https://v.douyin.com/ihY3Bnto/ 3@1.com</t>
  </si>
  <si>
    <t>https://www.xingtu.cn/ad/creator/author-homepage/douyin-video/6805457493347549198?market_track_id=ABWG93TWKLXV69FMO8CQ&amp;search_session_id=7506424543515459638&amp;video_type=2&amp;_route_from=from_page%3DMarket%26search_session_id%3D7506424543515459638%26is_for_order%3D1%26market_track_id%3DABWG93TWKLXV69FMO8CQ%26platform_source%3D1%26key%3D%25E8%25B5%259B%25E7%25BD%2597%25E7%259A%2584%25E5%25AE%259D%25E8%25B4%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</si>
  <si>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6805457493347549198</t>
  </si>
  <si>
    <t>女 ：51.8%  
男 ：48.2%</t>
  </si>
  <si>
    <t>18-23：57.5%
31-40：19.5%
24-30：13.3%</t>
  </si>
  <si>
    <t>Z世代：49.8%
新锐白领：8.9%
小镇青年：22.3%
精致妈妈：1.2%
资深中产：2.1%
都市蓝领：12.8%
小镇中老年：1.3%
都市银发：1.5%</t>
  </si>
  <si>
    <t>优思明、杜蕾斯</t>
  </si>
  <si>
    <t>上海</t>
  </si>
  <si>
    <t>棚棚朱古力</t>
  </si>
  <si>
    <t>该账号拥有高达300万的粉丝基础，获赞数更是达到了惊人的6100万，达人视频内容不仅限于健身，还涵盖了汽车、高尔夫等多元化的兴趣爱好，让粉丝在欣赏其专业健身内容的同时，也能感受到他丰富多彩的生活。其合集“朱古力的备赛日记”、“健身与健康”、“挑战带100个人健身”以及“门当户对”等，都获得了极高的播放量，其中“门当户对”更是达到了2.7亿的播放量
达人形象好，拥有绝对的男粉高达97%，广告经验丰富合作过伊利、东风纳米、哪吒S、荣威、乌苏、郎酒、碧欧泉、吉列、林肯汽车、阿维塔11、长安深蓝、七匹狼等品牌</t>
  </si>
  <si>
    <t>pengpengzhug</t>
  </si>
  <si>
    <t>日常、汽车</t>
  </si>
  <si>
    <t>https://v.douyin.com/AEx3WQG/</t>
  </si>
  <si>
    <t>https://www.xingtu.cn/ad/creator/author-homepage/douyin-video/6629661185576796164?market_track_id=E1N10QJIKJYZ2OX6B4WC&amp;search_session_id=7506425026556870695&amp;video_type=2&amp;_route_from=from_page%3DMarket%26search_session_id%3D7506425026556870695%26is_for_order%3D1%26market_track_id%3DE1N10QJIKJYZ2OX6B4WC%26platform_source%3D1%26key%3D%25E6%25A3%259A%25E6%25A3%259A%25E6%259C%25B1%25E5%258F%25A4%25E5%258A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</si>
  <si>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6629661185576796164</t>
  </si>
  <si>
    <t>男：74.1%
女：25.9%</t>
  </si>
  <si>
    <t>18-23：38.3%
24-30：24.3%
31-40：21.1%</t>
  </si>
  <si>
    <t>Z世代：35.8%
新锐白领：15%
小镇青年：22.7%
精致妈妈：2.1%
资深中产：2.8%
都市蓝领：14.4%
小镇中老年：3.8%
都市银发：3.4%</t>
  </si>
  <si>
    <t>伊利、东风纳米、荣威、碧欧泉、吉列、林肯汽车、阿维塔11、长安深蓝、比亚迪、妮维雅、蕉内、奇瑞icar</t>
  </si>
  <si>
    <t>失野晶</t>
  </si>
  <si>
    <t>通过演绎霸总题材的短剧等内容吸引粉丝，比如与“病娇霸总”孙兵法合作的短剧，在抖音上有较高的人气。也会分享生活中的点滴，如约会Vlog、回母校的经历等，让粉丝感受到她真实的一面。能通过剧情演绎和生活分享等多种形式，巧妙地将广告产品融入到视频内容中</t>
  </si>
  <si>
    <t>Shuijing_</t>
  </si>
  <si>
    <t>https://v.douyin.com/SfXQxQL349E/ 7@4.com</t>
  </si>
  <si>
    <t>https://www.xingtu.cn/ad/creator/author-homepage/douyin-video/6675972478684102659?market_track_id=8VVIMQRXFNYSWMG59N6B&amp;search_session_id=7516811288732237887&amp;possessStarId</t>
  </si>
  <si>
    <t>6675972478684102659</t>
  </si>
  <si>
    <t>男：22.8%
女：77.2%</t>
  </si>
  <si>
    <t>18-23：54.9%
24-30：25%
31-40：11.8%</t>
  </si>
  <si>
    <t>Z世代：43.4%
新锐白领：7.4%
小镇青年：29.1%
精致妈妈：3.7%
资深中产：0.7%
都市蓝领：12.5%
小镇中老年：2%
都市银发：1.3%</t>
  </si>
  <si>
    <t>祖玛珑、兰蔻、YSL、雅诗兰黛、华为、比亚迪、长安</t>
  </si>
  <si>
    <t>管家小葛</t>
  </si>
  <si>
    <t>专注分享职业生活与心得，粉丝超100万 ，累计获赞超1000万。内容涵盖奢侈品养护、旅行管家服务等多元领域，对高净值人群需求把控精准，能助力品牌高效触达目标受众，实现营销价值最大化！</t>
  </si>
  <si>
    <t>butleralexge</t>
  </si>
  <si>
    <t>日常、剧情</t>
  </si>
  <si>
    <t>https://v.douyin.com/i5WxXkUV/</t>
  </si>
  <si>
    <t>https://www.xingtu.cn/ad/creator/author-homepage/douyin-video/7092592304216604702?market_track_id=2IQYJW5H44K20LKAGDUO&amp;search_session_id=7506415622059081791&amp;video_type=2&amp;_route_from=from_page%3DMarket%26search_session_id%3D7506415622059081791%26is_for_order%3D1%26market_track_id%3D2IQYJW5H44K20LKAGDUO%26platform_source%3D1%26key%3D%25E7%25AE%25A1%25E5%25AE%25B6%25E5%25B0%258F%25E8%2591%259B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</si>
  <si>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7092592304216604702</t>
  </si>
  <si>
    <t>男：54.4%
女：45.6%</t>
  </si>
  <si>
    <t>18-23：28.5%
24-30：33.4%
31-40：28.2%</t>
  </si>
  <si>
    <t>Z世代：18.9%
新锐白领：21.7%
小镇青年：20.6%
精致妈妈：12.8%
资深中产：2.3%
都市蓝领：18.4%
小镇中老年：3%
都市银发：2.3%</t>
  </si>
  <si>
    <t>深蓝、华为、英菲尼迪</t>
  </si>
  <si>
    <t>杭州/国外</t>
  </si>
  <si>
    <t>暴走萝莉-尧洋</t>
  </si>
  <si>
    <t>视频内容融入日常以及舞蹈；植入品类广泛，可根据产品做定制内容</t>
  </si>
  <si>
    <t>luoli6666</t>
  </si>
  <si>
    <t>日常、舞蹈</t>
  </si>
  <si>
    <t>https://v.douyin.com/rFQ1mYB/</t>
  </si>
  <si>
    <t>https://www.xingtu.cn/ad/creator/author-homepage/douyin-video/6598044372904706056?market_track_id=LNH6XSBXKUYAUT0PYP8V&amp;search_session_id=7506424771753263140&amp;video_type=2&amp;_route_from=from_page%3DMarket%26search_session_id%3D7506424771753263140%26is_for_order%3D1%26market_track_id%3DLNH6XSBXKUYAUT0PYP8V%26platform_source%3D1%26key%3D%25E6%259A%25B4%25E8%25B5%25B0%25E8%2590%259D%25E8%258E%2589-%25E5%25B0%25A7%25E6%25B4%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</si>
  <si>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6598044372904706056</t>
  </si>
  <si>
    <t>女 ：64.9%  
男 ：35.1%</t>
  </si>
  <si>
    <t>18-23：50.9%
24-30：21.5%
31-40：15.1%</t>
  </si>
  <si>
    <t>Z世代：37.8%
新锐白领：9.4%
小镇青年：28.7%
精致妈妈：3.3%
资深中产：1.3%
都市蓝领：12.6%
小镇中老年：3.7%
都市银发：3.2%</t>
  </si>
  <si>
    <t>pico4 、抖音仔仔、兰蔻、脉动、上汽大众、蒙牛、</t>
  </si>
  <si>
    <t>洛丽塔大哥lolita</t>
  </si>
  <si>
    <t>元气少女，好身材甜妹，vlog达人，日常生活分享，氛围感视频。
月度连接总用户数 845.4w，环比 +193.9%，位于行业内 TOP 5%。触达用户 24-30岁居多，男性居多。集中分布在一线城市。
适合游戏、汽车、数码3C、食品饮料等产品植入，植入场景丰富，达人配合度高。</t>
  </si>
  <si>
    <t>1818515dy</t>
  </si>
  <si>
    <t>https://v.douyin.com/iDDrdfwC/ 9@0.com</t>
  </si>
  <si>
    <t>https://www.xingtu.cn/ad/creator/author-homepage/douyin-video/6793284681224683534?market_track_id=WYYKHUE391R399LR5PQC&amp;search_session_id=7506425929252306956&amp;video_type=2&amp;_route_from=from_page%3DMarket%26search_session_id%3D7506425929252306956%26is_for_order%3D1%26market_track_id%3DWYYKHUE391R399LR5PQC%26platform_source%3D1%26key%3D%25E6%25B4%259B%25E4%25B8%25BD%25E5%25A1%2594%25E5%25A4%25A7%25E5%2593%25A5lolit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</si>
  <si>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6793284681224683534</t>
  </si>
  <si>
    <t>男：87.7%
女：12.3%</t>
  </si>
  <si>
    <t>18-23：27.9%
24-30：34.4%
31-40：21.2%</t>
  </si>
  <si>
    <t>Z世代：15.5%
新锐白领：25.1%
小镇青年：21.3%
精致妈妈：0.7%
资深中产：2.1%
都市蓝领：21.6%
小镇中老年：7.5%
都市银发：6.3%</t>
  </si>
  <si>
    <t>RIO、大话西游、长安幻想、绵阳方特、和成天下、沱牌舍得、</t>
  </si>
  <si>
    <t>渣男金乘五</t>
  </si>
  <si>
    <t>当代抽象艺术家 “年轻的国王保持清醒”《Future国王语录》作品合集播放超3亿男粉占比87%</t>
  </si>
  <si>
    <t>Fatboyk</t>
  </si>
  <si>
    <t>日常、随拍</t>
  </si>
  <si>
    <t>https://v.douyin.com/iyQ6npBH/</t>
  </si>
  <si>
    <t>https://www.xingtu.cn/ad/creator/author-homepage/douyin-video/7044187080850669604?market_track_id=VYH7JQYOIMA6S360E8HU&amp;search_session_id=7506427789810516004&amp;video_type=2&amp;_route_from=from_page%3DMarket%26search_session_id%3D7506427789810516004%26is_for_order%3D1%26market_track_id%3DVYH7JQYOIMA6S360E8HU%26platform_source%3D1%26key%3D%25E6%25B8%25A3%25E7%2594%25B7%25E9%2587%2591%25E4%25B9%2598%25E4%25BA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</si>
  <si>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7044187080850669604</t>
  </si>
  <si>
    <t>视频号 快手</t>
  </si>
  <si>
    <t>男：87.4%
女：12.6%</t>
  </si>
  <si>
    <t>18-23：56.9%
24-30：30.3%
31-40：9.3%</t>
  </si>
  <si>
    <t>Z世代：40.4%
新锐白领：25.3%
小镇青年：19.5%
精致妈妈：0.9%
资深中产：1.1%
都市蓝领：11.6%
小镇中老年：0.6%
都市银发：0.6%</t>
  </si>
  <si>
    <t>汉兰达、得物、自然堂、徕芬</t>
  </si>
  <si>
    <t>彦儿日常</t>
  </si>
  <si>
    <t>彦儿小号，霸气女神的日常，内容多为日常随拍/好物分享/vlog为主，粉丝粘性强，种草能力佳，适合多品类产品自然植入。</t>
  </si>
  <si>
    <t>XL961</t>
  </si>
  <si>
    <t>https://v.douyin.com/N7vAXXo/</t>
  </si>
  <si>
    <t>https://www.xingtu.cn/ad/creator/author-homepage/douyin-video/6813591753300377613?market_track_id=D1XV4JZ26VN8RR0N5HND&amp;search_session_id=7506427944303657014&amp;video_type=2&amp;_route_from=from_page%3DMarket%26search_session_id%3D7506427944303657014%26is_for_order%3D1%26market_track_id%3DD1XV4JZ26VN8RR0N5HND%26platform_source%3D1%26key%3D%25E5%25BD%25A6%25E5%2584%25BF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</si>
  <si>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6813591753300377613</t>
  </si>
  <si>
    <t>男 ：37.1%
女 ：62.9%</t>
  </si>
  <si>
    <t>18-23：43.3%
24-30：38.4%
31-40：14.4%</t>
  </si>
  <si>
    <t>Z世代：24.8%
新锐白领：16%
小镇青年：29.5%
精致妈妈：3.7%
资深中产：1.2%
都市蓝领：22.2%
小镇中老年：1.6%
都市银发：0.9%</t>
  </si>
  <si>
    <t>菜鸟裹裹、YSL、吉利icon、美诺</t>
  </si>
  <si>
    <t>小林綠</t>
  </si>
  <si>
    <r>
      <rPr>
        <sz val="9"/>
        <color rgb="FF08090C"/>
        <rFont val="微软雅黑"/>
        <charset val="134"/>
      </rPr>
      <t>小林</t>
    </r>
    <r>
      <rPr>
        <sz val="9"/>
        <color rgb="FF08090C"/>
        <rFont val="宋体-简"/>
        <charset val="134"/>
      </rPr>
      <t>綠</t>
    </r>
    <r>
      <rPr>
        <sz val="9"/>
        <color rgb="FF08090C"/>
        <rFont val="微软雅黑"/>
        <charset val="134"/>
      </rPr>
      <t>形象甜美、气质清新自然，其外貌与形象的特质为视频内容奠定了青春活力、亲和力强的基调。因为小林</t>
    </r>
    <r>
      <rPr>
        <sz val="9"/>
        <color rgb="FF08090C"/>
        <rFont val="宋体-简"/>
        <charset val="134"/>
      </rPr>
      <t>綠</t>
    </r>
    <r>
      <rPr>
        <sz val="9"/>
        <color rgb="FF08090C"/>
        <rFont val="微软雅黑"/>
        <charset val="134"/>
      </rPr>
      <t>是头部剧情账号（加菲菡）的日常账号，自带流量。日常生活的内容更加拉近了跟粉丝的距离。与粉丝互动良好，星图日常视频互动率6.3%，超过了59.3%的同类型达人。
搞怪可爱的风格充满生活气息使得产品植入内容场景丰富，适合全品类植入。常规以：时尚美妆类、食品饮料类、生活家居类、数码3C类、户外运动品类等为主。
此外达人配合度高，有成熟的制作团队，造型精良场景丰富。能结合产品特点生活化的展示使用场景和功能特点。并且达人每次产出的内容都十分优质（骆驼冲锋衣等品牌多次复投）</t>
    </r>
  </si>
  <si>
    <t>cptbtptp0506zzz</t>
  </si>
  <si>
    <t>颜值 日常</t>
  </si>
  <si>
    <t>https://v.douyin.com/YFDupKa/</t>
  </si>
  <si>
    <t>https://www.xingtu.cn/ad/creator/author-homepage/douyin-video/6985450122213588999?market_track_id=HAMOFE78QB1VJXO33CNW&amp;search_session_id=7506428100830363687&amp;video_type=2&amp;_route_from=from_page%3DMarket%26search_session_id%3D7506428100830363687%26is_for_order%3D1%26market_track_id%3DHAMOFE78QB1VJXO33CNW%26platform_source%3D1%26key%3D%25E5%25B0%258F%25E6%259E%2597%25E7%25B6%25A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</si>
  <si>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6985450122213588999</t>
  </si>
  <si>
    <t>男：8.2%
女：91.8%</t>
  </si>
  <si>
    <t>18-23：80%
24-30：14.7%
31-40：2.7%</t>
  </si>
  <si>
    <t>Z世代：55.6%
新锐白领：6.4%
小镇青年：27.5%
精致妈妈：1.3%
资深中产：0.2%
都市蓝领：8.3%
小镇中老年：0.4%
都市银发：0.3%</t>
  </si>
  <si>
    <t>耐克、脉动、金味挑战赛、柠檬道、阿尔卑斯、香奈儿香水、谷雨</t>
  </si>
  <si>
    <t>二同哥哥</t>
  </si>
  <si>
    <t>非著名主持人以其独特的内容和风格吸引了大量关注，两大合集“成都父子的那些事”和“小梧桐日常”分别获得了2835.7万和4330.0万的播放量
“成都父子的那些事”和“小梧桐日常”这两个合集，满满的生活气息和亲情味道。可以深入了解父子的日常生活、趣事以及他们之间的深厚情感。这种真实、接地气的内容，很容易引发观众的共鸣和喜爱。
达人配合度高，合作过太太乐、爱他美、奇骏、TATA木门、石头、问界、劲酒、万家乐、奇骏、全友家私、滴滴、威猛先生等品牌</t>
  </si>
  <si>
    <t>DYX881027</t>
  </si>
  <si>
    <t>日常、家庭</t>
  </si>
  <si>
    <t>https://v.douyin.com/En7thx/</t>
  </si>
  <si>
    <t>https://www.xingtu.cn/ad/creator/author-homepage/douyin-video/6629127088207036430?market_track_id=HQ30STQYALVLETP50BBJ&amp;search_session_id=7506428133824708671&amp;video_type=2&amp;_route_from=from_page%3DMarket%26search_session_id%3D7506428133824708671%26is_for_order%3D1%26market_track_id%3DHQ30STQYALVLETP50BBJ%26platform_source%3D1%26key%3D%25E4%25BA%258C%25E5%2590%258C%25E5%2593%25A5%25E5%2593%25A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</si>
  <si>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6629127088207036430</t>
  </si>
  <si>
    <t>男 ：52.1%
女 ：47.9%</t>
  </si>
  <si>
    <t>24-30：23.8%
31-40：40.8%
41-50：19%</t>
  </si>
  <si>
    <t>z世代：2.5%
小镇青年：18%
精致妈妈：10.9%
新锐白领：23.3%
都市蓝领：10.6%
小镇中老年：11%
资深中产：12.3%
都市银发：11.4%</t>
  </si>
  <si>
    <t>太太乐、爱他美、奇骏、TATA木门、石头、问界、劲酒、万家乐、奇骏、全友家私、滴滴、威猛先生</t>
  </si>
  <si>
    <t>刘贺儿</t>
  </si>
  <si>
    <t>用镜头展现平凡生活中的伟大，通过达人的视角，接触对社会有意义的事情。合作可以提升品牌方在人们心中的价值；30岁以上粉丝占比高，粉丝消费能力高；适合全品类植入，达人配合度非常高；</t>
  </si>
  <si>
    <t>chenbaobao0</t>
  </si>
  <si>
    <t>记录生活vlog</t>
  </si>
  <si>
    <t>https://v.douyin.com/ihLfY4my/ 1@8.com</t>
  </si>
  <si>
    <t>https://www.xingtu.cn/ad/creator/author-homepage/douyin-video/6846209317889114120?market_track_id=58IHQXH5X0IERITR1FXA&amp;search_session_id=7506428168321531915&amp;video_type=2&amp;_route_from=from_page%3DMarket%26search_session_id%3D7506428168321531915%26is_for_order%3D1%26market_track_id%3D58IHQXH5X0IERITR1FXA%26platform_source%3D1%26key%3D%25E5%2588%2598%25E8%25B4%25BA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</si>
  <si>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6846209317889114120</t>
  </si>
  <si>
    <t>男：46.4%
女：53.6%</t>
  </si>
  <si>
    <t>18-23：40.9%
24-30：27.7%
31-40：13.8%</t>
  </si>
  <si>
    <t>Z世代：33%
新锐白领：11.3%
小镇青年：22.3%
精致妈妈：5.3%
资深中产：1.3%
都市蓝领：15.3%
小镇中老年：4.7%
都市银发：6.9%</t>
  </si>
  <si>
    <t>华为、茅台、京东</t>
  </si>
  <si>
    <t>小程不是小陈也不是小成</t>
  </si>
  <si>
    <t>变美思路、种草、开箱内容，口播强植入；满满的干货搭配小程特有的口音，能让整篇种草不无聊，完播率拉满；适合全品类品牌植入</t>
  </si>
  <si>
    <t>情侣日常 好物分享</t>
  </si>
  <si>
    <t>https://v.douyin.com/ieJEk27r/</t>
  </si>
  <si>
    <t>https://www.xingtu.cn/ad/creator/author-homepage/douyin-video/6870167809498808333?market_track_id=5JHIEM8JD0YPO75OONSK&amp;search_session_id=7506428303101018153&amp;video_type=2&amp;_route_from=from_page%3DMarket%26search_session_id%3D7506428303101018153%26is_for_order%3D1%26market_track_id%3D5JHIEM8JD0YPO75OONSK%26platform_source%3D1%26key%3D%25E5%25B0%258F%25E7%25A8%258B%25E4%25B8%258D%25E6%2598%25AF%25E5%25B0%258F%25E9%2599%2588%25E4%25B9%259F%25E4%25B8%258D%25E6%2598%25AF%25E5%25B0%258F%25E6%2588%2590%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</si>
  <si>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6870167809498808333</t>
  </si>
  <si>
    <t>男：57.6%
女：42.4%</t>
  </si>
  <si>
    <t>18-23：62.6%
24-30：17.3%
31-40：10.3%</t>
  </si>
  <si>
    <t>Z世代：55.6%
新锐白领：7.9%
小镇青年：22.8%
精致妈妈：1.2%
资深中产：1%
都市蓝领：8.8%
小镇中老年：1.4%
都市银发：1.2%</t>
  </si>
  <si>
    <t>珂拉琪、intoyou、蕉点、mistine、HBN、明治、肌活</t>
  </si>
  <si>
    <t>斯娘</t>
  </si>
  <si>
    <t>她是超火的泛生活达人，短时间粉丝破40万 ，累计获赞近千万。搞笑日常趣味十足，能巧妙融入各类产品，亲和力强，极易拉近品牌与大众距离，助力品牌实现高曝光与高转化 。</t>
  </si>
  <si>
    <t>Cshance</t>
  </si>
  <si>
    <t>https://v.douyin.com/SHRaGVS/</t>
  </si>
  <si>
    <t>https://www.xingtu.cn/ad/creator/author-homepage/douyin-video/6870171420836495374?market_track_id=FKC7GUD0Z72EULREXC6X&amp;search_session_id=7506428463252570166&amp;video_type=2&amp;_route_from=from_page%3DMarket%26search_session_id%3D7506428463252570166%26is_for_order%3D1%26market_track_id%3DFKC7GUD0Z72EULREXC6X%26platform_source%3D1%26key%3D%25E6%2596%25AF%25E5%25A8%2598%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</si>
  <si>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6870171420836495374</t>
  </si>
  <si>
    <t>男：65.1%
女：34.9%</t>
  </si>
  <si>
    <t>24-30：14.2%
31-40：61.6%
41-50：19.4%</t>
  </si>
  <si>
    <t>Z世代：0.5%
新锐白领：22.5%
小镇青年：18.1%
精致妈妈：9.5%
资深中产：16.4%
都市蓝领：19.6%
小镇中老年：8.3%
都市银发：5.1%</t>
  </si>
  <si>
    <t>东风启辰、戴森、汤臣倍健、启辰、开心消消乐、吱丘晓茶、得物、途游斗地主、转转、玛歌庄园、雍禾</t>
  </si>
  <si>
    <t>初夏</t>
  </si>
  <si>
    <t>小甜剧无糖奶茶女主，账号内容以生活日常为主。展现了短剧演员丰富多彩的日常生活。</t>
  </si>
  <si>
    <t>美妆、日常</t>
  </si>
  <si>
    <t>https://v.douyin.com/rXkgpu2/</t>
  </si>
  <si>
    <t>https://www.xingtu.cn/ad/creator/author-homepage/douyin-video/7179569792829882426?market_track_id=2FOXOWJPSJT5SZW6D330&amp;search_session_id=7506428934028836900&amp;video_type=2&amp;_route_from=from_page%3DMarket%26search_session_id%3D7506428934028836900%26is_for_order%3D1%26market_track_id%3D2FOXOWJPSJT5SZW6D330%26platform_source%3D1%26key%3D%25E5%25B0%258F%25E9%259B%25AA%25E6%2597%25A5%25E8%25AE%25B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</si>
  <si>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7179569792829882426</t>
  </si>
  <si>
    <t>男 ：26.6%
女 ：73.4%</t>
  </si>
  <si>
    <t>18-23：44.9%
24-30：27.2%
31-40：20.2%</t>
  </si>
  <si>
    <t>Z世代：36.9%
新锐白领：11.6%
小镇青年：24.4%
精致妈妈：7.2%
资深中产：1.9%
都市蓝领：14.4%
小镇中老年：2%
都市银发：1.6%</t>
  </si>
  <si>
    <t>一加、科颜氏、普润盈、滴滴、红谷女包、TATCHA精华水、BRNR、富士相机、伊利金典、可颂</t>
  </si>
  <si>
    <t>【舞蹈/音乐】</t>
  </si>
  <si>
    <t>多加点DuoDian</t>
  </si>
  <si>
    <t>高颜值双胞胎，时尚表现能力强,男粉占比61.9%，31-40占比最高，受众新锐白领较多，食品、游戏、3c、汽车、线下打卡类合作较多，适合各类产品植入</t>
  </si>
  <si>
    <t>duodian0722</t>
  </si>
  <si>
    <t>创意 舞蹈 颜值</t>
  </si>
  <si>
    <t>https://v.douyin.com/qAah9R/</t>
  </si>
  <si>
    <t>https://www.xingtu.cn/ad/creator/author-homepage/douyin-video/6596679993906954254?market_track_id=RHX9N8IZ5BDH2B8GR5YR&amp;search_session_id=7506419773791240255&amp;video_type=2&amp;_route_from=from_page%3DMarket%26search_session_id%3D7506419773791240255%26is_for_order%3D1%26market_track_id%3DRHX9N8IZ5BDH2B8GR5YR%26platform_source%3D1%26key%3D%25E5%25A4%259A%25E5%258A%25A0%25E7%2582%25B9DuoD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</si>
  <si>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6596679993906954254</t>
  </si>
  <si>
    <t>男：75.2%   
女：24.8%</t>
  </si>
  <si>
    <t>18-23：16.5%
24-30：30.7%
31-40：30.3%</t>
  </si>
  <si>
    <t>Z世代：14.1%
新锐白领：19.4%
小镇青年：25.2%
精致妈妈：2.1%
资深中产：2.6%
都市蓝领：17.6%
小镇中老年：8.8%
都市银发：10.3%</t>
  </si>
  <si>
    <t>YSL、京东、PUMA、Adidas、逆水寒、饿了么、维他命水、梦幻西游、百事可乐、德克士、酷儿。百雀羚</t>
  </si>
  <si>
    <t>鹿儿er</t>
  </si>
  <si>
    <t>甜萌舞力少女，灵动俏皮似邻家，无缝接轨服饰美妆游戏圈，魅力破圈，未来无限。</t>
  </si>
  <si>
    <t>Yaya55688</t>
  </si>
  <si>
    <t>颜值、舞蹈</t>
  </si>
  <si>
    <t>https://v.douyin.com/24q2eQN/</t>
  </si>
  <si>
    <t>https://www.xingtu.cn/ad/creator/author-homepage/douyin-video/6984651683640901662?market_track_id=L7P4GANMST0846PF62J0&amp;search_session_id=7506419875221504011&amp;video_type=2&amp;_route_from=from_page%3DMarket%26search_session_id%3D7506419875221504011%26is_for_order%3D1%26market_track_id%3DL7P4GANMST0846PF62J0%26platform_source%3D1%26key%3D%25E9%25B9%25BF%25E5%2584%25BFer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</si>
  <si>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6984651683640901662</t>
  </si>
  <si>
    <t>视频号 小红书</t>
  </si>
  <si>
    <t>男：93.5%
女：6.5%</t>
  </si>
  <si>
    <t>18-23：47.6%
24-30：35.6%
31-40：14%</t>
  </si>
  <si>
    <t>Z世代：29.1%
新锐白领：18.3%
小镇青年：28.3%
精致妈妈：0.4%
资深中产：0.9%
都市蓝领：21.1%
小镇中老年：1.1%
都市银发：0.8%</t>
  </si>
  <si>
    <t>最美天气贴纸、水井坊、洋河、特步、MG7、梦幻西游、伊利、传祺、王者荣耀</t>
  </si>
  <si>
    <t>太原</t>
  </si>
  <si>
    <t>张好好爱吃鱼🐬</t>
  </si>
  <si>
    <t>国风古典舞蹈类达人，形象气质佳，大长腿尤其吸引人，适合行业：服饰、游戏、美妆</t>
  </si>
  <si>
    <t>zlzll1126</t>
  </si>
  <si>
    <t>舞蹈</t>
  </si>
  <si>
    <t>https://v.douyin.com/iUU8cHHq/</t>
  </si>
  <si>
    <t>https://www.xingtu.cn/ad/creator/author-homepage/douyin-video/7348369428595081226?market_track_id=XGEHLZ9CA9OLF261XFQT&amp;search_session_id=7506420067140108299&amp;video_type=2&amp;_route_from=from_page%3DMarket%26search_session_id%3D7506420067140108299%26is_for_order%3D1%26market_track_id%3DXGEHLZ9CA9OLF261XFQT%26platform_source%3D1%26key%3D%25E5%25BC%25A0%25E5%25A5%25BD%25E5%25A5%25BD%25E7%2588%25B1%25E5%2590%2583%25E9%25B1%25BC%25F0%259F%2590%25A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</si>
  <si>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7348369428595081226</t>
  </si>
  <si>
    <t>男：96.8%
女：3.2%</t>
  </si>
  <si>
    <t>18-23：10.9%
24-30：30.5%
31-40：46.3%</t>
  </si>
  <si>
    <t>Z世代：5.1%
新锐白领：32.1%
小镇青年：23%
精致妈妈：0.5%
资深中产：8.6%
都市蓝领：22.8%
小镇中老年：5.5%
都市银发：2.4%</t>
  </si>
  <si>
    <t>去哪儿</t>
  </si>
  <si>
    <t>花千小骨⁸²¹🕌</t>
  </si>
  <si>
    <t>专注于敦煌舞表演，其舞蹈动作规范、优美且富有感染力，能够精准地展现出敦煌舞的独特韵味和艺术魅力，让观众在欣赏舞蹈的同时，感受到敦煌文化的深厚底蕴。其内容能够激发观众对敦煌地区的兴趣和向往，为敦煌的文化旅游产业起到宣传推广的作用。如果与当地旅游机构或相关品牌合作，可以有效促进敦煌旅游市场的发展，实现文化与旅游的深度融合。</t>
  </si>
  <si>
    <t>YY0821</t>
  </si>
  <si>
    <t>https://v.douyin.com/iY85x94D/</t>
  </si>
  <si>
    <t>https://www.xingtu.cn/ad/creator/author-homepage/douyin-video/7129889869039403015?market_track_id=14V3MPWQNE99BRC2Y8PU&amp;search_session_id=7506420126619566091&amp;video_type=2&amp;_route_from=from_page%3DMarket%26search_session_id%3D7506420126619566091%26is_for_order%3D1%26market_track_id%3D14V3MPWQNE99BRC2Y8PU%26platform_source%3D1%26key%3D%25E8%258A%25B1%25E5%258D%2583%25E5%25B0%258F%25E9%25AA%25A8%25E2%2581%25B8%25C2%25B2%25C2%25B9%25F0%259F%2595%258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</si>
  <si>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7129889869039403015</t>
  </si>
  <si>
    <t>男：86.9%
女：13.1%</t>
  </si>
  <si>
    <t>18-23：27.6%
24-30：35.4%
31-40：30.2%</t>
  </si>
  <si>
    <t>Z世代：17.2%
新锐白领：24.3%
小镇青年：25.5%
精致妈妈：3%
资深中产：3.5%
都市蓝领：21.8%
小镇中老年：3.1%
都市银发：1.6%</t>
  </si>
  <si>
    <t>网易、探探、ulike、逆水寒、和平精英、时光杂货店</t>
  </si>
  <si>
    <t>宛庭</t>
  </si>
  <si>
    <t>舞蹈类达人，有助于合作品牌塑造年轻、时尚、活力的品牌形象。通过与她合作，品牌可以将自身的产品或服务与宛庭的形象和舞蹈内容相结合，传递出积极、美好的品牌价值观，吸引更多目标客户的关注和认可。</t>
  </si>
  <si>
    <t>https://v.douyin.com/i2H5qaFs/</t>
  </si>
  <si>
    <t>https://www.xingtu.cn/ad/creator/author-homepage/douyin-video/7301232242683019273?market_track_id=AX2QE06W2PAHS8LH1D0I&amp;search_session_id=7506420191522275339&amp;video_type=2&amp;_route_from=from_page%3DMarket%26search_session_id%3D7506420191522275339%26is_for_order%3D1%26market_track_id%3DAX2QE06W2PAHS8LH1D0I%26platform_source%3D1%26key%3D%25E5%25AE%259B%25E5%25BA%25A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</si>
  <si>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7301232242683019273</t>
  </si>
  <si>
    <t>女 ：15.7%  
男 ：84.3%</t>
  </si>
  <si>
    <t>18-23：45%
24-30：29.9%
31-40：17.9%</t>
  </si>
  <si>
    <t>Z世代：28.1%
新锐白领：15.1%
小镇青年：28%
精致妈妈：1.3%
资深中产：1.7%
都市蓝领：20.6%
小镇中老年：2.9%
都市银发：2.3%</t>
  </si>
  <si>
    <t>时光大爆炸、王岗坪、海底捞</t>
  </si>
  <si>
    <t>四九</t>
  </si>
  <si>
    <t>舞蹈少年，潜力无限。他舞技精湛，肢体控制精准，节奏感绝佳，对各类舞蹈风格都能出色演绎，从青春活力的街舞，到优雅舒展的现代舞，皆不在话下。舞台上的他自信闪耀，极具感染力，能迅速抓住观众目光，为舞蹈领域注入新鲜活力，值得关注。</t>
  </si>
  <si>
    <t>7749sijiu</t>
  </si>
  <si>
    <t>https://v.douyin.com/iYBa8VBc/</t>
  </si>
  <si>
    <t>https://www.xingtu.cn/ad/creator/author-homepage/douyin-video/7351730252281806858?market_track_id=Q8KVA6MSVYLYCDFMCC1Q&amp;search_session_id=7506420302496841769&amp;video_type=2&amp;_route_from=from_page%3DMarket%26search_session_id%3D7506420302496841769%26is_for_order%3D1%26market_track_id%3DQ8KVA6MSVYLYCDFMCC1Q%26platform_source%3D1%26key%3D%25E5%259B%259B%25E4%25B9%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</si>
  <si>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7351730252281806858</t>
  </si>
  <si>
    <t>男：27.9%
女：72.1%</t>
  </si>
  <si>
    <t>18-23：41.4%
24-30：28.1%
31-40：18.3%</t>
  </si>
  <si>
    <t>Z世代：25.2%
新锐白领：17%
小镇青年：23%
精致妈妈：6.3%
资深中产：1.9%
都市蓝领：17.5%
小镇中老年：4.4%
都市银发：4.7%</t>
  </si>
  <si>
    <t>柚竹、ulike、网易飞天舞、新奇士、恋与深空、长虹、</t>
  </si>
  <si>
    <t>维妮儿Dance👣</t>
  </si>
  <si>
    <t>舞蹈表演本科，致力于推广古典国风舞蹈文化，既传承古典舞蹈的典雅庄重，又大胆创新，融入现代舞蹈元素，使作品既贴合当代审美，又不失古韵。</t>
  </si>
  <si>
    <t>Wnr_3399.</t>
  </si>
  <si>
    <t>https://v.douyin.com/rVAPr2p/</t>
  </si>
  <si>
    <t>https://www.xingtu.cn/ad/creator/author-homepage/douyin-video/7090145395988234255?market_track_id=CXX0T8PZX6VKRWU7FPCC&amp;search_session_id=7506419877101191179&amp;video_type=2&amp;_route_from=from_page%3DMarket%26search_session_id%3D7506419877101191179%26is_for_order%3D1%26market_track_id%3DCXX0T8PZX6VKRWU7FPCC%26platform_source%3D1%26key%3D%25E7%25BB%25B4%25E5%25A6%25AE%25E5%2584%25BFDance%25F0%259F%2591%25A3%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</si>
  <si>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7090145395988234255</t>
  </si>
  <si>
    <t>男：67.7%
女：32.3%</t>
  </si>
  <si>
    <t>18-23：26.7%
24-30：31.3%
31-40：32.5%</t>
  </si>
  <si>
    <t>Z世代：26.5%
新锐白领：20%
小镇青年：27.9%
精致妈妈：2.1%
资深中产：3.3%
都市蓝领：15.7%
小镇中老年：3%
都市银发：1.6%</t>
  </si>
  <si>
    <t>台州神仙居、伊利、书亦、梦幻西游、去哪儿、岚图</t>
  </si>
  <si>
    <t>清妍-</t>
  </si>
  <si>
    <t>擅长各种传统舞蹈，还能够在保留舞蹈精髓的基础上进行创新，将现代元素融入其中，使舞蹈更具时代感和观赏性，注重画面的构图和色彩搭配。达人表现力强，适合食品饮料、景区宣传以及汽车品类推广。</t>
  </si>
  <si>
    <t>古风舞蹈</t>
  </si>
  <si>
    <t>https://v.douyin.com/ee1Ud3N/</t>
  </si>
  <si>
    <t>https://www.xingtu.cn/ad/creator/author-homepage/douyin-video/6763255021673906180?market_track_id=0K7127XRBJCSUN1J1ML6&amp;search_session_id=7506419638394306579&amp;video_type=2&amp;_route_from=from_page%3DMarket%26search_session_id%3D7506419638394306579%26is_for_order%3D1%26market_track_id%3D0K7127XRBJCSUN1J1ML6%26platform_source%3D1%26key%3D%25E6%25B8%2585%25E5%25A6%258D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</si>
  <si>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6763255021673906180</t>
  </si>
  <si>
    <t>男 ：77.2%
女 ：22.8%</t>
  </si>
  <si>
    <t>18-23：21.9%
24-30：38.2%
31-40：32.5%</t>
  </si>
  <si>
    <t>Z世代：11.8%
新锐白领：29.8%
小镇青年：24.3%
精致妈妈：3.2%
资深中产：3.8%
都市蓝领：21.5%
小镇中老年：3.3%
都市银发：2.3%</t>
  </si>
  <si>
    <t>今麦郎、广汽丰田、顾家家居、多乐士 、长安、施华蔻、梅赛德斯-奔驰、adidas、伊利、东风奕派、岚图</t>
  </si>
  <si>
    <t>类型</t>
  </si>
  <si>
    <t>达人简介</t>
  </si>
  <si>
    <t>达人标签</t>
  </si>
  <si>
    <t>粉丝量
（W）</t>
  </si>
  <si>
    <t>部分合作客户</t>
  </si>
  <si>
    <t>穿搭</t>
  </si>
  <si>
    <t>康康和爷爷</t>
  </si>
  <si>
    <t>爷爷教你如何穿出时尚潮流感</t>
  </si>
  <si>
    <t>Kangye1937</t>
  </si>
  <si>
    <t>穿搭、日常</t>
  </si>
  <si>
    <t>https://v.douyin.com/M3CUn1t/</t>
  </si>
  <si>
    <t>巴黎世家、gucci、宝格丽</t>
  </si>
  <si>
    <t>武汉</t>
  </si>
  <si>
    <t>变装</t>
  </si>
  <si>
    <t>刀小刀sama</t>
  </si>
  <si>
    <t>超头部颜值达人</t>
  </si>
  <si>
    <t>xxx_One1</t>
  </si>
  <si>
    <t>https://v.douyin.com/EoRCNC/</t>
  </si>
  <si>
    <t>阿玛尼、OLAY、乌苏、伊利、VIVO、波司登、、凯迪拉克、哈弗、东风日产</t>
  </si>
  <si>
    <t>三喜爷爷</t>
  </si>
  <si>
    <t>一个喜爱表演的西北爷爷</t>
  </si>
  <si>
    <t>sanxiyeye</t>
  </si>
  <si>
    <t>剧情、变装</t>
  </si>
  <si>
    <t>https://v.douyin.com/idgFtebK/</t>
  </si>
  <si>
    <t>兰州</t>
  </si>
  <si>
    <t>Sheep羊崽</t>
  </si>
  <si>
    <t>来自医学院的帅气少年</t>
  </si>
  <si>
    <t>https://v.douyin.com/F52xKBj/</t>
  </si>
  <si>
    <t>小米、云南白药</t>
  </si>
  <si>
    <t>剧情</t>
  </si>
  <si>
    <t>徐三柒</t>
  </si>
  <si>
    <t>多元题材的剧情达人</t>
  </si>
  <si>
    <t>xusan777</t>
  </si>
  <si>
    <t>https://v.douyin.com/bmOwXBxZVL0/</t>
  </si>
  <si>
    <t>淘淘氧棉、膜法世家、</t>
  </si>
  <si>
    <t>废柴一点</t>
  </si>
  <si>
    <t>独特的剧情、独特的视角</t>
  </si>
  <si>
    <t>dy0hsetdjyzk</t>
  </si>
  <si>
    <t>https://v.douyin.com/vG6xXKcEm1M/</t>
  </si>
  <si>
    <t>范琦、金松露巧克力、赖世家、四季保元</t>
  </si>
  <si>
    <t>美食</t>
  </si>
  <si>
    <t>阿财没饭吃</t>
  </si>
  <si>
    <t>以“食材拟人化”微距镜头打造视觉奇观</t>
  </si>
  <si>
    <t>CDBykx218078</t>
  </si>
  <si>
    <t>创意TVC、美食</t>
  </si>
  <si>
    <t>https://v.douyin.com/ijRaTmKu/</t>
  </si>
  <si>
    <t>云鲸、自由点、乐品乐茶、康夫、三养、出发吧麦芬</t>
  </si>
  <si>
    <t>萌宠</t>
  </si>
  <si>
    <t>起错名的四毛</t>
  </si>
  <si>
    <t>金毛四毛和毛爸之间的逗趣日常</t>
  </si>
  <si>
    <t>simao126</t>
  </si>
  <si>
    <t>萌宠、日常</t>
  </si>
  <si>
    <t>https://v.douyin.com/FukGc9y/</t>
  </si>
  <si>
    <t>诺亚、比乐、海尔、唯品会、淘宝、顽皮冻干、天猫家电、雪花啤酒</t>
  </si>
  <si>
    <t>莆田</t>
  </si>
  <si>
    <t>美妆</t>
  </si>
  <si>
    <t>丝丝沈</t>
  </si>
  <si>
    <t>强势种草全能女神</t>
  </si>
  <si>
    <t>Wojiushishisi</t>
  </si>
  <si>
    <t>https://v.douyin.com/eVyoRpH/</t>
  </si>
  <si>
    <t>雅诗兰黛、丝芙兰、UD、曼秀雷敦、拉拜诗美瞳、小奥汀、花西子、荣耀等</t>
  </si>
  <si>
    <t>小三金</t>
  </si>
  <si>
    <t>都市剧情｜穿越反转｜职场情感</t>
  </si>
  <si>
    <t>Sanjin08.18</t>
  </si>
  <si>
    <t>https://v.douyin.com/i2RS3sn4/ 5@1.com</t>
  </si>
  <si>
    <t>辽宁</t>
  </si>
  <si>
    <t>榴莲阿</t>
  </si>
  <si>
    <t>创意型博主</t>
  </si>
  <si>
    <t>LLA77888</t>
  </si>
  <si>
    <t>https://v.douyin.com/8fK-mzMbqx4/ 9@3.com</t>
  </si>
  <si>
    <t>飞科，炫迈、真我gt7、</t>
  </si>
  <si>
    <t>天巍霸霸</t>
  </si>
  <si>
    <t>搞笑女和猛男的强强结合记录情侣之间的搞笑互动</t>
  </si>
  <si>
    <t>twss666666</t>
  </si>
  <si>
    <t>情侣、搞笑</t>
  </si>
  <si>
    <t>https://v.douyin.com/6QeCELJ/</t>
  </si>
  <si>
    <t>PRADA、雅诗兰黛、天猫、点淘</t>
  </si>
  <si>
    <t>阿鸡</t>
  </si>
  <si>
    <t>带你打卡东京热门美食</t>
  </si>
  <si>
    <t>JI676767</t>
  </si>
  <si>
    <t>探店、旅行</t>
  </si>
  <si>
    <t>https://v.douyin.com/Mso7q78/</t>
  </si>
  <si>
    <t>阿里巴巴、杰士派、得物、真快乐、点淘</t>
  </si>
  <si>
    <t>东京</t>
  </si>
  <si>
    <t>这货不是洋少琪</t>
  </si>
  <si>
    <t>和朋友斗智斗勇的生活日常</t>
  </si>
  <si>
    <t>段子、日常</t>
  </si>
  <si>
    <t>https://v.douyin.com/iFnqKRPt/ 5@4.com</t>
  </si>
  <si>
    <t>东风日产、雪花啤酒、上汽大众、伊利</t>
  </si>
  <si>
    <t>💓忘崽夫妇</t>
  </si>
  <si>
    <t>甜蜜一家三口</t>
  </si>
  <si>
    <t>CTLA8899</t>
  </si>
  <si>
    <t>https://v.douyin.com/eYqMACg/</t>
  </si>
  <si>
    <t>小雅象、帮宝适、吉列、贝尔等</t>
  </si>
  <si>
    <t>深圳</t>
  </si>
  <si>
    <t>TK科技测评</t>
  </si>
  <si>
    <t>全能好物种草官</t>
  </si>
  <si>
    <t>tkyanxuan</t>
  </si>
  <si>
    <t>测评、好物种草</t>
  </si>
  <si>
    <t>https://v.douyin.com/6nnu3ep/</t>
  </si>
  <si>
    <t>美诺吸尘器、奇瑞、淘宝、珂莱欧、三星、红豆男装等</t>
  </si>
  <si>
    <t>达莎Digi</t>
  </si>
  <si>
    <t>俄罗斯模特的日常</t>
  </si>
  <si>
    <t>Dashalove</t>
  </si>
  <si>
    <t>日常、分享</t>
  </si>
  <si>
    <t>https://v.douyin.com/iJsMgCaF/</t>
  </si>
  <si>
    <t>兰蔻、施华蔻喷雾、YSL、娇兰金钻、MICHAEL KORS、芙丝voss、CASETiFY、</t>
  </si>
  <si>
    <t>广州、北京</t>
  </si>
  <si>
    <t>阿日</t>
  </si>
  <si>
    <t>清透美少女</t>
  </si>
  <si>
    <t>Taoosii</t>
  </si>
  <si>
    <t>日常、vlog</t>
  </si>
  <si>
    <t>https://v.douyin.com/idbgpq8H/</t>
  </si>
  <si>
    <t>长沙，原神、王者荣耀、兰蔻、ysl、hbn、五菱宏光、比亚迪</t>
  </si>
  <si>
    <t>谢安然</t>
  </si>
  <si>
    <t>知名lolita模特</t>
  </si>
  <si>
    <t>https://v.douyin.com/ie2bqhFJ/</t>
  </si>
  <si>
    <t>麦当劳、ANNASUI、琦芙莉、哪吒汽车、玉兰油</t>
  </si>
  <si>
    <t>丝丝滴DIETGRRRL</t>
  </si>
  <si>
    <t>又甜又飒的鬼马穿搭女神</t>
  </si>
  <si>
    <t>日常、穿搭</t>
  </si>
  <si>
    <t>https://v.douyin.com/eVfJN5H/</t>
  </si>
  <si>
    <t>淘宝新势力、百丽、adidas、地素、斯凯奇、妖舞耳机等</t>
  </si>
  <si>
    <t>特效</t>
  </si>
  <si>
    <t>青山坤</t>
  </si>
  <si>
    <t>成长系视觉特效博主，带你看不一样的4K世界。</t>
  </si>
  <si>
    <t>Qingshankun</t>
  </si>
  <si>
    <t>特效、变装</t>
  </si>
  <si>
    <t>https://v.douyin.com/iR6RY8xk/</t>
  </si>
  <si>
    <t>绝区零</t>
  </si>
  <si>
    <t>测评</t>
  </si>
  <si>
    <t>Bigger研究所</t>
  </si>
  <si>
    <t>好物发现官</t>
  </si>
  <si>
    <t>Biggeryjs</t>
  </si>
  <si>
    <t>生活、测评</t>
  </si>
  <si>
    <t>https://v.douyin.com/LWd4PfQ/</t>
  </si>
  <si>
    <t>VIVO、伊利、支付宝、福特、波司登</t>
  </si>
  <si>
    <t>TK玩数码</t>
  </si>
  <si>
    <t>数码种草测评</t>
  </si>
  <si>
    <t>sensenmu</t>
  </si>
  <si>
    <t>https://v.douyin.com/iMnTEUEQ/ 5</t>
  </si>
  <si>
    <t>老贺的科技</t>
  </si>
  <si>
    <t>专业的数码种草测评</t>
  </si>
  <si>
    <t>数码、测评</t>
  </si>
  <si>
    <t>https://v.douyin.com/Jn8Fe8S/</t>
  </si>
  <si>
    <t>JBL</t>
  </si>
  <si>
    <t>骐柒柒科技测评</t>
  </si>
  <si>
    <t>数码干货| 实用技巧|科技测评</t>
  </si>
  <si>
    <t>senhuoduo</t>
  </si>
  <si>
    <t>https://v.douyin.com/iSkaX3wK/ 7@4.com</t>
  </si>
  <si>
    <t>柒柒科技测评</t>
  </si>
  <si>
    <t>十年数码从业开发 数码科技达人</t>
  </si>
  <si>
    <t>chenduomu</t>
  </si>
  <si>
    <t>https://v.douyin.com/Rxq1VX9/</t>
  </si>
  <si>
    <t>瑞尔.</t>
  </si>
  <si>
    <t>镜头下的多面故事王，亦是氛围感狙击手
可盐可甜的眼神戏、张力十足的表演派、每一帧都是电影质感！</t>
  </si>
  <si>
    <t>ruierhh</t>
  </si>
  <si>
    <t>https://v.douyin.com/qtWVvJiFOXw/</t>
  </si>
  <si>
    <t>古茗、</t>
  </si>
  <si>
    <t>源来凌晨</t>
  </si>
  <si>
    <t>喜爱打篮球的酷帅少年</t>
  </si>
  <si>
    <t>hd210625</t>
  </si>
  <si>
    <t>https://v.douyin.com/i6jxhjWt/ 0@5.com</t>
  </si>
  <si>
    <t>荣耀、太平鸟、一嗨租车、博越COOL、蛋仔派对</t>
  </si>
  <si>
    <t>廖健淇</t>
  </si>
  <si>
    <t>小说里的邻家少年</t>
  </si>
  <si>
    <t>ljq20010110</t>
  </si>
  <si>
    <t>https://v.douyin.com/iLXhmbEv/</t>
  </si>
  <si>
    <t>君乐宝</t>
  </si>
  <si>
    <t>东东</t>
  </si>
  <si>
    <t>分享各类日常碎片</t>
  </si>
  <si>
    <t>Gravitywell</t>
  </si>
  <si>
    <t>https://v.douyin.com/iJBkt6n2/</t>
  </si>
  <si>
    <t>珀莱雅、小米civi1s、小米12s、moody等</t>
  </si>
  <si>
    <t>蛋炒饭🥚</t>
  </si>
  <si>
    <t>清冷感女主上线</t>
  </si>
  <si>
    <t>E59827</t>
  </si>
  <si>
    <t>https://v.douyin.com/hL3oFpS/</t>
  </si>
  <si>
    <t>恒安超品挑战赛、西门子、吉利汽车、lamer</t>
  </si>
  <si>
    <t>日照</t>
  </si>
  <si>
    <t>做夢</t>
  </si>
  <si>
    <t>展现各类做饭+摆盘小技巧</t>
  </si>
  <si>
    <t>Ricardo1999</t>
  </si>
  <si>
    <t>美食、颜值</t>
  </si>
  <si>
    <t>https://v.douyin.com/iCQLdBJ/</t>
  </si>
  <si>
    <t>小电电🌻</t>
  </si>
  <si>
    <t>充满正能量的女摩友</t>
  </si>
  <si>
    <t>DD6767DD</t>
  </si>
  <si>
    <t>机车、日常</t>
  </si>
  <si>
    <t>https://v.douyin.com/A8oV6Rg/</t>
  </si>
  <si>
    <t>乌苏啤酒、威克士洗车机、雅迪电动车、小米13、oppowatch3、电小二户外电源</t>
  </si>
  <si>
    <t>河南</t>
  </si>
  <si>
    <t>车圈小晨</t>
  </si>
  <si>
    <t>专业汽车解说、热爱玩车的汽车编辑</t>
  </si>
  <si>
    <t>https://v.douyin.com/d92Ym7m/</t>
  </si>
  <si>
    <t>奥迪、别克、丰田、本田、Jeep、一汽大众、领克、福特、魏、智己、长安深蓝</t>
  </si>
  <si>
    <t>【OST传媒】小红书报价</t>
  </si>
  <si>
    <t>小红书昵称</t>
  </si>
  <si>
    <t>小红书号</t>
  </si>
  <si>
    <t>账号简介</t>
  </si>
  <si>
    <t>粉丝量（W）</t>
  </si>
  <si>
    <t>赞藏量（W）</t>
  </si>
  <si>
    <t>常驻地</t>
  </si>
  <si>
    <t>报备图文（单品）</t>
  </si>
  <si>
    <t>报备视频（单品）</t>
  </si>
  <si>
    <t>合集单品</t>
  </si>
  <si>
    <t>达人主页</t>
  </si>
  <si>
    <t>蒲公英主页</t>
  </si>
  <si>
    <t>🏆 2019《中国新说唱》全国总冠军 | 
💪 健身房里最会Rap的 | 舞台上最“硬”的</t>
  </si>
  <si>
    <t>日常/音乐</t>
  </si>
  <si>
    <t>https://www.xiaohongshu.com/user/profile/6178e364000000001f0386d1?xsec_token=YBQJZAZCsBmKOQNdleZn1Y1FWNdUlZCwV0QNxLjb-Lf_U=&amp;xsec_source=app_share&amp;xhsshare=CopyLink&amp;appuid=5f6887c9000000000100b2fc&amp;apptime=1753955757&amp;share_id=b46535965ac34929a7087838894f56ba</t>
  </si>
  <si>
    <t>家务界最rapper的姐！🎤 整理房间也能燃炸，即兴说唱句句戳心，翻唱改编魔性又治愈~ 生活百味皆可成歌，品牌植入超带感！关注我，解锁家务新BGM！</t>
  </si>
  <si>
    <t>https://xhslink.com/m/5UgcvtObNbD</t>
  </si>
  <si>
    <t>https://pgy.xiaohongshu.com/solar/pre-trade/blogger-detail/63135ed0000000001200e086?track_id=</t>
  </si>
  <si>
    <t>【美妆/护肤】</t>
  </si>
  <si>
    <t>🎨重庆素人改造师 | 换头级化妆术 | 用技术让每个女孩发现自己的美💫</t>
  </si>
  <si>
    <t>美妆/改造</t>
  </si>
  <si>
    <t>图文单坑22000
视频单坑28000
不拍改造</t>
  </si>
  <si>
    <t>https://www.xiaohongshu.com/user/profile/5d9c4619000000000100b1c0?xhsshare=CopyLink&amp;appuid=5f6887c9000000000100b2fc&amp;apptime=1691991561</t>
  </si>
  <si>
    <t>https://pgy.xiaohongshu.com/solar/pre-trade/blogger-detail/5d9c4619000000000100b1c0?track_id=kolSearch_0c134ff113144bb3bd24c1c8e40c9910&amp;source=Advertiser_Kol</t>
  </si>
  <si>
    <t>babyxx0731</t>
  </si>
  <si>
    <t>👑机械辣妹风 | 欧美妆教+穿搭 | 逆袭变美指南💋</t>
  </si>
  <si>
    <t>时尚/穿搭/美妆</t>
  </si>
  <si>
    <t>https://www.xiaohongshu.com/user/profile/61a60fe70000000010005673?xhsshare=CopyLink&amp;appuid=5abb1ddc4eacab7df3804e90&amp;apptime=1646106950</t>
  </si>
  <si>
    <t>https://pgy.xiaohongshu.com/solar/pre-trade/blogger-detail/61a60fe70000000010005673?track_id=kolSearch_4e0020d93e8f4404af08b7b167ef41dd&amp;source=Advertiser_Kol</t>
  </si>
  <si>
    <t>野生种草机 | 学生党平价好物 | 百元内搞定全套精致妆容💅</t>
  </si>
  <si>
    <t>美妆/种草/分享/VLOG</t>
  </si>
  <si>
    <t>合集12000</t>
  </si>
  <si>
    <t>https://www.xiaohongshu.com/user/profile/5a813a144eacab5b9d72c400?xhsshare=CopyLink&amp;appuid=5f6887c9000000000100b2fc&amp;apptime=1723700841&amp;share_id=704b384e90fa4a349ec425d10d3c571b</t>
  </si>
  <si>
    <t>https://pgy.xiaohongshu.com/solar/pre-trade/blogger-detail/5a813a144eacab5b9d72c400?track_id=kolSearch_a6b116f5d0f1473faccb5233122861d9&amp;source=Advertiser_Kol</t>
  </si>
  <si>
    <t>real_audrey7</t>
  </si>
  <si>
    <t>留学生活志 | 海外好物+跨文化vlog | 3W粉打造27W赞的精致留学图鉴🌍</t>
  </si>
  <si>
    <t>美妆/留学生活/好物分享/vlog</t>
  </si>
  <si>
    <t>合集视频3500</t>
  </si>
  <si>
    <t>https://www.xiaohongshu.com/user/profile/5b001a854eacab46d3308d84?language=zh-CN</t>
  </si>
  <si>
    <t>https://pgy.xiaohongshu.com/solar/pre-trade/blogger-detail/5b001a854eacab46d3308d84?track_id=kolSearch_ab766fc69d734a6c911cb7086a3347fb&amp;source=Advertiser_Kol</t>
  </si>
  <si>
    <t>张什什不是倩妮</t>
  </si>
  <si>
    <t>多面手博主 | 通勤妆教+快时尚测评 | 打工人变美性价比之选👠</t>
  </si>
  <si>
    <t>妆容/好物/穿搭/护肤</t>
  </si>
  <si>
    <t>合集10000</t>
  </si>
  <si>
    <t>https://www.xiaohongshu.com/user/profile/5a026bc94eacab345d40800b?xhsshare=CopyLink&amp;appuid=5f6887c9000000000100b2fc&amp;apptime=1706512965</t>
  </si>
  <si>
    <t>https://pgy.xiaohongshu.com/solar/pre-trade/blogger-detail/5a026bc94eacab345d40800b?track_id=kolSearch_621d32718c224318be729c41e4b3f0f2&amp;source=Advertiser_Kol</t>
  </si>
  <si>
    <t>甜酷女孩 | JK制服+千禧辣妹风 | Y2K美学复兴计划🪩</t>
  </si>
  <si>
    <t>美妆/日常/穿搭</t>
  </si>
  <si>
    <t>https://www.xiaohongshu.com/user/profile/591d50e582ec397ced16b902?xhsshare=CopyLink&amp;appuid=5f6887c9000000000100b2fc&amp;apptime=1682411995</t>
  </si>
  <si>
    <t>https://pgy.xiaohongshu.com/solar/pre-trade/blogger-detail/591d50e582ec397ced16b902?track_id=kolSearch_f2607d75dc404d26836275650a90d789&amp;source=Advertiser_Kol</t>
  </si>
  <si>
    <t>两条尾巴</t>
  </si>
  <si>
    <t>twotails22</t>
  </si>
  <si>
    <t>色彩玩家 | 撞色穿搭+创意妆容 | 普通女孩的「不敢穿」挑战计划🌈</t>
  </si>
  <si>
    <t>时尚/穿搭/彩妆</t>
  </si>
  <si>
    <t>https://www.xiaohongshu.com/user/profile/5853e9eda9b2ed73234f183f?xhsshare=CopyLink&amp;appuid=5f6887c9000000000100b2fc&amp;apptime=1665557077</t>
  </si>
  <si>
    <t>https://pgy.xiaohongshu.com/solar/pre-trade/blogger-detail/5853e9eda9b2ed73234f183f?track_id=kolSearch_1d6bf66ef0354be9855e6f3d257388ac&amp;source=Advertiser_Kol</t>
  </si>
  <si>
    <t>辰TK测评</t>
  </si>
  <si>
    <t>luoexist</t>
  </si>
  <si>
    <t>🔍成分党硬核测评师 | 平价彩妆实测 | 只说真话的美妆课代表💄</t>
  </si>
  <si>
    <t>美妆/护肤/测评</t>
  </si>
  <si>
    <t>https://www.xiaohongshu.com/user/profile/5876137c82ec392876477d49?xhsshare=CopyLink&amp;appuid=5876137c82ec392876477d49&amp;apptime=1559476421</t>
  </si>
  <si>
    <t>https://pgy.xiaohongshu.com/solar/pre-trade/blogger-detail/5876137c82ec392876477d49?track_id=kolSearch_69ed0984c006499aadca3a698fa54920&amp;source=Advertiser_Kol</t>
  </si>
  <si>
    <t>【日常/VLOG】</t>
  </si>
  <si>
    <t>xiaohoubo</t>
  </si>
  <si>
    <t>沙雕日常 | 脑洞剧情+神反转 | 用幽默对抗生活的无聊日常🎭</t>
  </si>
  <si>
    <t>日常/随拍/搞笑</t>
  </si>
  <si>
    <t>https://www.xiaohongshu.com/user/profile/5bb1fa139cb8ac00010e9eb6?xsec_token=YBDUZ4c5dcRd_UcofHvuhGrjkoio2q83NCeGSNsncG5E0=&amp;xsec_source=app_share&amp;xhsshare=CopyLink&amp;appuid=5f6887c9000000000100b2fc&amp;apptime=1741680725&amp;share_id=46d09b047e754326a2f7c6016fc59d94</t>
  </si>
  <si>
    <t>https://pgy.xiaohongshu.com/solar/pre-trade/blogger-detail/5bb1fa139cb8ac00010e9eb6?track_id=</t>
  </si>
  <si>
    <t>健身戏精 | 增肌食谱+健身喜剧 | 笑出腹肌的塑形指南😂</t>
  </si>
  <si>
    <t>健身/剧情/日常</t>
  </si>
  <si>
    <t>https://www.xiaohongshu.com/user/profile/5fcf254b0000000001000dc1?xhsshare=CopyLink&amp;appuid=5f6887c9000000000100b2fc&amp;apptime=1685499908</t>
  </si>
  <si>
    <t>https://pgy.xiaohongshu.com/solar/pre-trade/blogger-detail/5fcf254b0000000001000dc1?track_id=kolSearch_6b9d38da35fa40eba6b620d4a633d09f&amp;source=Advertiser_Kol</t>
  </si>
  <si>
    <t>yaner957</t>
  </si>
  <si>
    <r>
      <rPr>
        <sz val="9"/>
        <color rgb="FF08090C"/>
        <rFont val="宋体"/>
        <charset val="134"/>
      </rPr>
      <t>✨</t>
    </r>
    <r>
      <rPr>
        <sz val="9"/>
        <color rgb="FF08090C"/>
        <rFont val="微软雅黑"/>
        <charset val="134"/>
      </rPr>
      <t>精致生活家 | 美妆干货+氛围感穿搭 | 用镜头记录城市浪漫美学🌆</t>
    </r>
  </si>
  <si>
    <t>时尚/美妆/拍照/生活方式</t>
  </si>
  <si>
    <t>35000
备注：视频内容不做剧情，做好物分享类</t>
  </si>
  <si>
    <t>https://www.xiaohongshu.com/user/profile/5cb427010000000017018af8?language=zh-CN</t>
  </si>
  <si>
    <t>https://pgy.xiaohongshu.com/solar/pre-trade/blogger-detail/5cb427010000000017018af8?track_id=kolSearch_ab957022be6744d494f8577207c844f9&amp;source=Advertiser_Kol</t>
  </si>
  <si>
    <t>xiaoxin8_8</t>
  </si>
  <si>
    <t>摄影｜手工创意📸💡 定格美好の灵感制造机</t>
  </si>
  <si>
    <t>手工/创意制作/摄影</t>
  </si>
  <si>
    <t>https://www.xiaohongshu.com/user/profile/62efa5f7000000001f005b9a?xsec_token=YBd-vS5sMOuCxh9m-6YHFO4uiMN2r-upH5aaCEF_Q33Ms=&amp;xsec_source=app_share&amp;xhsshare=CopyLink&amp;appuid=5f6887c9000000000100b2fc&amp;apptime=1749543031&amp;share_id=ed0cb645c4b24686ba1737e9868cbca2</t>
  </si>
  <si>
    <t>https://pgy.xiaohongshu.com/solar/pre-trade/blogger-detail/62efa5f7000000001f005b9a?track_id=kolSearch_62241b1dd4594800a7785e1e3f10022c&amp;source=Advertiser_Kol</t>
  </si>
  <si>
    <r>
      <rPr>
        <sz val="9"/>
        <color rgb="FF08090C"/>
        <rFont val="微软雅黑"/>
        <charset val="134"/>
      </rPr>
      <t>📸 | 胶片滤镜教程+探店打卡 | 普通日子也要闪闪发光</t>
    </r>
    <r>
      <rPr>
        <sz val="9"/>
        <color rgb="FF08090C"/>
        <rFont val="宋体"/>
        <charset val="134"/>
      </rPr>
      <t>✨</t>
    </r>
  </si>
  <si>
    <t>拍照/时尚/生活方式</t>
  </si>
  <si>
    <t>备注：视频内容不做剧情，做好物分享类</t>
  </si>
  <si>
    <t>https://www.xiaohongshu.com/user/profile/601d48c2000000000101e66a?language=zh-CN</t>
  </si>
  <si>
    <t>https://pgy.xiaohongshu.com/solar/pre-trade/blogger-detail/601d48c2000000000101e66a?track_id=kolSearch_daa082264a03422989c91a4da391e036&amp;source=Advertiser_Kol</t>
  </si>
  <si>
    <t>职业管家导师 | 生活美学践行者
🌟 英国管家专业海归，27岁任管家培训学校校长！专注分享高效生活技巧、高端服务细节，从收纳到宴请礼仪，干货满满～</t>
  </si>
  <si>
    <t>日常/随拍/测评/好物分享</t>
  </si>
  <si>
    <t>分发40000</t>
  </si>
  <si>
    <t>https://www.xiaohongshu.com/user/profile/5e5b7cfc0000000001008cc9?xsec_token=YBbKKN6nVkufj08exnHTM2ZjSXanzjAeJv16sdRtVOIHQ=&amp;xsec_source=app_share&amp;xhsshare=CopyLink&amp;appuid=5f6887c9000000000100b2fc&amp;apptime=1742541405&amp;share_id=d7bb17681d794c69b09453de08d40d1e</t>
  </si>
  <si>
    <t>https://pgy.xiaohongshu.com/solar/pre-trade/blogger-detail/5e5b7cfc0000000001008cc9?track_id=kolSearch_6b5730c78d854c8f8faea2ad6e85c415&amp;source=Advertiser_Kol</t>
  </si>
  <si>
    <t>👜轻复古穿搭教主 | 一衣多搭+质感生活 | 用vlog带你看人间烟火与高光时刻🎬</t>
  </si>
  <si>
    <t>vlog/穿搭/生活方式</t>
  </si>
  <si>
    <t>https://www.xiaohongshu.com/user/profile/5fbf55ac00000000010054ec?language=zh-CN</t>
  </si>
  <si>
    <t>https://pgy.xiaohongshu.com/solar/pre-trade/blogger-detail/5fbf55ac00000000010054ec?track_id=kolSearch_a8e059b9d6fc4b2ca7c93b6ec5369a22&amp;source=Advertiser_Kol</t>
  </si>
  <si>
    <t>小雪日记</t>
  </si>
  <si>
    <r>
      <rPr>
        <sz val="9"/>
        <color rgb="FF08090C"/>
        <rFont val="微软雅黑"/>
        <charset val="134"/>
      </rPr>
      <t>短剧演员 | 独居生活+探店plog | 用镜头收藏城市温柔角落</t>
    </r>
    <r>
      <rPr>
        <sz val="9"/>
        <color rgb="FF08090C"/>
        <rFont val="宋体"/>
        <charset val="134"/>
      </rPr>
      <t>☕</t>
    </r>
  </si>
  <si>
    <t>日常/美妆/VLOG/随拍</t>
  </si>
  <si>
    <t>https://www.xiaohongshu.com/user/profile/5fa362a30000000001000747?language=zh-CN</t>
  </si>
  <si>
    <t>https://pgy.xiaohongshu.com/solar/pre-trade/blogger-detail/5fa362a30000000001000747?track_id=kolSearch_29ad4d6b12c840b4b88a7efc15e5f424&amp;source=Advertiser_Kol</t>
  </si>
  <si>
    <t>情感剧场 | 都市男女图鉴 | 3分钟带你尝遍人生百态📼</t>
  </si>
  <si>
    <t>日常/剧情/情感</t>
  </si>
  <si>
    <t>https://www.xiaohongshu.com/user/profile/60afd8b00000000001008d94?xhsshare=CopyLink&amp;appuid=5f6887c9000000000100b2fc&amp;apptime=1690434083</t>
  </si>
  <si>
    <t>https://pgy.xiaohongshu.com/solar/pre-trade/blogger-detail/60afd8b00000000001008d94?track_id=kolSearch_bf55ff7945af48ff9d4168c02a229a35&amp;source=Advertiser_Kol</t>
  </si>
  <si>
    <t>情感剧场 | 演绎小说男女图鉴 | 短剧演员日常</t>
  </si>
  <si>
    <t>日常/剧情/情侣/VLOG</t>
  </si>
  <si>
    <t>VLOG种草价格50000</t>
  </si>
  <si>
    <t>https://www.xiaohongshu.com/user/profile/5c45ebaa000000001200329e?xsec_token=YBsiOG2ebavLhZJW98-L4nmYd90amYoH0Q5uj6ZIlEbrc=&amp;xsec_source=app_share&amp;xhsshare=CopyLink&amp;appuid=5f6887c9000000000100b2fc&amp;apptime=1750659247&amp;share_id=b27eb940d3854fa088e551b6f711bc1e</t>
  </si>
  <si>
    <t>https://pgy.xiaohongshu.com/solar/pre-trade/blogger-detail/5c45ebaa000000001200329e?track_id=kolSearch_9d9ee6e9b8ba4d7388a1ed4c03d910d5&amp;source=Advertiser_Kol</t>
  </si>
  <si>
    <t>🎮次元破壁者 | 神级COS+剧情变装 | 带你穿梭二次元与三次元的边界🚪
 | 游戏/3C产品跨界营销 |</t>
  </si>
  <si>
    <t>COS/时尚/变装/剧情</t>
  </si>
  <si>
    <t>https://www.xiaohongshu.com/user/profile/5c6836cc0000000011031924?xhsshare=CopyLink&amp;appuid=5f6887c9000000000100b2fc&amp;apptime=1668403653</t>
  </si>
  <si>
    <t>https://pgy.xiaohongshu.com/solar/pre-trade/blogger-detail/5c6836cc0000000011031924?track_id=kolSearch_f4e808acff004094b33d62e33fdcf8c6&amp;source=Advertiser_Kol</t>
  </si>
  <si>
    <t>黄锐铨</t>
  </si>
  <si>
    <t>情侣博主 | 同居日记+双人穿搭 | 磕糖现场的日常撒狗粮🍬</t>
  </si>
  <si>
    <t>生活方式/情侣</t>
  </si>
  <si>
    <t>https://www.xiaohongshu.com/user/profile/5c886d4a000000001103062a?language=zh-CN</t>
  </si>
  <si>
    <t>https://pgy.xiaohongshu.com/solar/pre-trade/blogger-detail/5c886d4a000000001103062a?track_id=kolSearch_aec86d67bd964e3995787b9924f8d884&amp;source=Advertiser_Kol</t>
  </si>
  <si>
    <t>连蜜呀</t>
  </si>
  <si>
    <t>旅行博主 | 民宿试睡官+城市漫步 | 治愈系慢生活指南🚶♀️</t>
  </si>
  <si>
    <t>出游旅行/生活记录</t>
  </si>
  <si>
    <t>https://www.xiaohongshu.com/user/profile/5a9e4fd2e8ac2b28058cc6bc?xhsshare=CopyLink&amp;appuid=5bb0616f7d87110001b9d058&amp;apptime=1660629996</t>
  </si>
  <si>
    <t>https://pgy.xiaohongshu.com/solar/pre-trade/blogger-detail/5a9e4fd2e8ac2b28058cc6bc?track_id=kolSearch_3eea07c3e7a24c3f8cc3373d9bf49ae2&amp;source=Advertiser_Kol</t>
  </si>
  <si>
    <r>
      <rPr>
        <sz val="9"/>
        <color rgb="FF08090C"/>
        <rFont val="微软雅黑"/>
        <charset val="134"/>
      </rPr>
      <t>清冷系美人 | 破碎感妆容+氛围写真 | 粉丝都在学的「易碎感」打造术</t>
    </r>
    <r>
      <rPr>
        <sz val="9"/>
        <color rgb="FF08090C"/>
        <rFont val="宋体"/>
        <charset val="134"/>
      </rPr>
      <t>❄</t>
    </r>
    <r>
      <rPr>
        <sz val="9"/>
        <color rgb="FF08090C"/>
        <rFont val="微软雅黑"/>
        <charset val="134"/>
      </rPr>
      <t>️</t>
    </r>
  </si>
  <si>
    <t>颜值/日常</t>
  </si>
  <si>
    <t>https://www.xiaohongshu.com/user/profile/5ca7791c000000001703d920?xhsshare=CopyLink&amp;appuid=5f6887c9000000000100b2fc&amp;apptime=1698031379</t>
  </si>
  <si>
    <t>https://pgy.xiaohongshu.com/solar/pre-trade/blogger-detail/5ca7791c000000001703d920?track_id=kolSearch_d3fcc24a5ddf477d979bf14e3fe5ffed&amp;source=Advertiser_Kol</t>
  </si>
  <si>
    <t>🎎古风新锐创作者 | 汉服混搭 | 让传统文化酷起来的弄潮儿🎏</t>
  </si>
  <si>
    <t>时尚/古风/剧情</t>
  </si>
  <si>
    <t>https://www.xiaohongshu.com/user/profile/5f2e0669000000000101c68b?language=zh-CN</t>
  </si>
  <si>
    <t>https://pgy.xiaohongshu.com/solar/pre-trade/blogger-detail/5f2e0669000000000101c68b?track_id=kolSearch_366a708dbb8a4624baf7c246bbe47c2b&amp;source=Advertiser_Kol</t>
  </si>
  <si>
    <t>妆容实验室 | 日杂仿妆+好物分享 | 手把手教你穿搭术🔮</t>
  </si>
  <si>
    <t>穿搭/日常/妆容</t>
  </si>
  <si>
    <t>https://www.xiaohongshu.com/user/profile/59e7011c4eacab49101c70b9?xhsshare=CopyLink&amp;appuid=5f6887c9000000000100b2fc&amp;apptime=1701743935</t>
  </si>
  <si>
    <t>https://pgy.xiaohongshu.com/solar/pre-trade/blogger-detail/59e7011c4eacab49101c70b9?track_id=kolSearch_da08d08309704e2ca5e28ef98cf5c770&amp;source=Advertiser_Kol</t>
  </si>
  <si>
    <t>九九我啊</t>
  </si>
  <si>
    <t>chenruwen03</t>
  </si>
  <si>
    <t>记录生活 | 分享日常 | 酒蒙子的日常vlog</t>
  </si>
  <si>
    <t>生活/日常/</t>
  </si>
  <si>
    <t>https://www.xiaohongshu.com/user/profile/5b5d36c7e8ac2b35b1e6213d?xsec_token=YBEepMIBK0zQl-4EoDBDhFSBp6V1pAbYYDR-B5Msn_vVA=&amp;xsec_source=app_share&amp;xhsshare=CopyLink&amp;appuid=5f6887c9000000000100b2fc&amp;apptime=1752820243&amp;share_id=cdd7a7183a7d41f289decdc3a8373b29</t>
  </si>
  <si>
    <t>https://pgy.xiaohongshu.com/solar/pre-trade/blogger-detail/5b5d36c7e8ac2b35b1e6213d?track_id=</t>
  </si>
  <si>
    <t>🎭广深情感剧场 |情侣生活手册 | 7W粉共鸣的都市人生观察录📽</t>
  </si>
  <si>
    <t>https://www.xiaohongshu.com/user/profile/642f09e60000000029011b9e?xhsshare=CopyLink&amp;appuid=5f6887c9000000000100b2fc&amp;apptime=1713341457</t>
  </si>
  <si>
    <t>https://pgy.xiaohongshu.com/solar/pre-trade/blogger-detail/642f09e60000000029011b9e?track_id=kolSearch_9f32b438ea584760ba43c1cf96f2fb9b&amp;source=Advertiser_Kol</t>
  </si>
  <si>
    <t>vvyj0812</t>
  </si>
  <si>
    <t>💎 高端生活方式探索者 | 质感美学博主</t>
  </si>
  <si>
    <t>时尚/vlog/拍照/生活/探店</t>
  </si>
  <si>
    <t>https://www.xiaohongshu.co
m/user/profile/5b4f5fcb11
be106513a09b1c</t>
  </si>
  <si>
    <t>https://pgy.xiaohongshu.com/solar/pre-trade/blogger-detail/5b4f5fcb11be106513a09b1c?track_id=kolSearch_5898afae8ddc45e5b64749b791f59335&amp;source=Advertiser_Kol</t>
  </si>
  <si>
    <t>忘崽夫妇</t>
  </si>
  <si>
    <t>💑小夫妻的撒糖日常 | 同居趣事+情侣穿搭 | 把普通日子过成偶像剧📺</t>
  </si>
  <si>
    <t>日常/情侣</t>
  </si>
  <si>
    <t>https://www.xiaohongshu.com/user/profile/5bb2ee2cbb1c740001fb8731?xhsshare=CopyLink&amp;appuid=5f6887c9000000000100b2fc&amp;apptime=1691569990</t>
  </si>
  <si>
    <t>https://pgy.xiaohongshu.com/solar/pre-trade/blogger-detail/5bb2ee2cbb1c740001fb8731?track_id=kolSearch_645edcebb0e6403993bfd65c04c7f79f&amp;source=Advertiser_Kol</t>
  </si>
  <si>
    <t>秦文龙</t>
  </si>
  <si>
    <t>电竞男神 | 游戏日常+直男穿搭</t>
  </si>
  <si>
    <t>日常/游戏/颜值</t>
  </si>
  <si>
    <t>https://www.xiaohongshu.com/user/profile/5fd1ec020000000001006b13?xhsshare=CopyLink&amp;appuid=5bb0616f7d87110001b9d058&amp;apptime=1660629721</t>
  </si>
  <si>
    <t>https://pgy.xiaohongshu.com/solar/pre-trade/blogger-detail/5fd1ec020000000001006b13?track_id=kolSearch_7e9d11a4e305418d8c5f4c52fd234ca4&amp;source=Advertiser_Kol</t>
  </si>
  <si>
    <t>嘿人李逵</t>
  </si>
  <si>
    <t>加纳籍成都女婿 | 中文说唱达人 | 跨文化内容创作者 | 正能量国际网红</t>
  </si>
  <si>
    <t>唱歌/日常</t>
  </si>
  <si>
    <t>https://www.xiaohongshu.com/user/profile/5b88b4da0d26190001bfd0e8?xhsshare=CopyLink&amp;appuid=5f6887c9000000000100b2fc&amp;apptime=1676623879</t>
  </si>
  <si>
    <t>https://pgy.xiaohongshu.com/solar/pre-trade/blogger-detail/5b88b4da0d26190001bfd0e8?track_id=kolSearch_bce217027a71405d9fc4804dadb17e0c&amp;source=Advertiser_Kol</t>
  </si>
  <si>
    <t>【时尚/穿搭】</t>
  </si>
  <si>
    <r>
      <rPr>
        <sz val="9"/>
        <color rgb="FF08090C"/>
        <rFont val="微软雅黑"/>
        <charset val="134"/>
      </rPr>
      <t>👴👦祖孙时尚拍档 | 跨代际穿搭灵感 | 温暖又时髦的亲情日记</t>
    </r>
    <r>
      <rPr>
        <sz val="9"/>
        <color rgb="FF08090C"/>
        <rFont val="宋体"/>
        <charset val="134"/>
      </rPr>
      <t>❤</t>
    </r>
    <r>
      <rPr>
        <sz val="9"/>
        <color rgb="FF08090C"/>
        <rFont val="微软雅黑"/>
        <charset val="134"/>
      </rPr>
      <t>️</t>
    </r>
  </si>
  <si>
    <t>时尚/穿搭</t>
  </si>
  <si>
    <t>https://www.xiaohongshu.com/user/profile/5f4dde330000000001005ae2?xhsshare=CopyLink&amp;appuid=5f6887c9000000000100b2fc&amp;apptime=1692254448</t>
  </si>
  <si>
    <t>https://pgy.xiaohongshu.com/solar/pre-trade/blogger-detail/5f4dde330000000001005ae2?track_id=kolSearch_899ac3c3487c49548f9d6b3634955aae&amp;source=Advertiser_Kol</t>
  </si>
  <si>
    <t>dashababy</t>
  </si>
  <si>
    <t>💃穿梭各地的时髦精 | 小众穿搭+OOTD | 模特的小众日常分享🛍️</t>
  </si>
  <si>
    <t>vlog/时尚/穿搭</t>
  </si>
  <si>
    <t>https://www.xiaohongshu.com/user/profile/5fc9c5480000000001004b0e?xhsshare=CopyLink&amp;appuid=5f6887c9000000000100b2fc&amp;apptime=1692700093</t>
  </si>
  <si>
    <t>https://pgy.xiaohongshu.com/solar/pre-trade/blogger-detail/5fc9c5480000000001004b0e?track_id=kolSearch_6ac73a13dbea4ce99c688d37b52ebfe9&amp;source=Advertiser_Kol</t>
  </si>
  <si>
    <r>
      <rPr>
        <sz val="9"/>
        <color rgb="FF08090C"/>
        <rFont val="微软雅黑"/>
        <charset val="134"/>
      </rPr>
      <t>小个子穿搭公式+质感单品 | 普通人也能穿出明星氛围感</t>
    </r>
    <r>
      <rPr>
        <sz val="9"/>
        <color rgb="FF08090C"/>
        <rFont val="宋体"/>
        <charset val="134"/>
      </rPr>
      <t>✨</t>
    </r>
  </si>
  <si>
    <t>颜值/时尚/穿搭</t>
  </si>
  <si>
    <t>https://www.xiaohongshu.com/user/profile/5f4e07d2000000000101d5eb?xhsshare=CopyLink&amp;appuid=5f6887c9000000000100b2fc&amp;apptime=1699496214</t>
  </si>
  <si>
    <t>https://pgy.xiaohongshu.com/solar/pre-trade/blogger-detail/5f4e07d2000000000101d5eb?track_id=kolSearch_15a6e0fabc364f898086f65ebde63732&amp;source=Advertiser_Kol</t>
  </si>
  <si>
    <t>靖雅欧尼</t>
  </si>
  <si>
    <t>🌸 轻熟风穿搭| 精致生活家
💄 街头氛围感轻松拿捏！</t>
  </si>
  <si>
    <t>生活记录/出行旅游/VLOG</t>
  </si>
  <si>
    <t>https://www.xiaohongshu.com/user/profile/5ff947cb000000000101d8ac?xhsshare=CopyLink&amp;appuid=5f6887c9000000000100b2fc&amp;apptime=1684128014</t>
  </si>
  <si>
    <t>https://pgy.xiaohongshu.com/solar/pre-trade/blogger-detail/5ff947cb000000000101d8ac?track_id=kolSearch_2e20515045d445fb82f92f1edf5d58eb&amp;source=Advertiser_Kol</t>
  </si>
  <si>
    <t>街拍剧作家 | 穿搭剧场+探店奇遇 | 用剧情解锁时尚的N种可能🎬</t>
  </si>
  <si>
    <t>时尚/穿搭/探店/剧情</t>
  </si>
  <si>
    <t>https://www.xiaohongshu.com/user/profile/5f508cb8000000000100baa4?language=zh-CN</t>
  </si>
  <si>
    <t>https://pgy.xiaohongshu.com/solar/pre-trade/blogger-detail/5f508cb8000000000100baa4?track_id=kolSearch_61be879a4c4d4aa3b11788d1a18e6bff&amp;source=Advertiser_Kol</t>
  </si>
  <si>
    <t>玉总Lesley</t>
  </si>
  <si>
    <t>霸道女总裁的职场变装秀 | 珠宝+穿搭| 教你把职场变成秀场T台👠</t>
  </si>
  <si>
    <t>剧情/时尚/生活方式</t>
  </si>
  <si>
    <t>https://www.xiaohongshu.com/user/profile/5ed4909b0000000001002d4f?language=zh-CN</t>
  </si>
  <si>
    <t>https://pgy.xiaohongshu.com/solar/pre-trade/blogger-detail/5ed4909b0000000001002d4f?track_id=kolSearch_34a6ace8a0a54d8bb1a4191e1c7b5e12&amp;source=Advertiser_Kol</t>
  </si>
  <si>
    <t>直男日常 | 情侣生活+穿搭指南 | 生活分享者</t>
  </si>
  <si>
    <t>时尚/颜值</t>
  </si>
  <si>
    <t>https://www.xiaohongshu.com/user/profile/5c9187d70000000011009340?xhsshare=CopyLink&amp;appuid=5f6887c9000000000100b2fc&amp;apptime=1689591526</t>
  </si>
  <si>
    <t>https://pgy.xiaohongshu.com/solar/pre-trade/blogger-detail/5c9187d70000000011009340?track_id=kolSearch_3c260d82929647958415a94a180bb98d&amp;source=Advertiser_Kol</t>
  </si>
  <si>
    <t>穿搭王 | 悬疑探店+OOTD剧场 | 用故事重新定义潮流叙事📼</t>
  </si>
  <si>
    <t>https://www.xiaohongshu.com/user/profile/60c9d9cb0000000001009e2a?language=zh-CN</t>
  </si>
  <si>
    <t>https://pgy.xiaohongshu.com/solar/pre-trade/blogger-detail/60c9d9cb0000000001009e2a?track_id=kolSearch_80e82a9105a04fa381f4159f3b27538e&amp;source=Advertiser_Kol</t>
  </si>
  <si>
    <t>神秘的贺某人：</t>
  </si>
  <si>
    <t>氛围感男神 | 暗黑系穿搭+光影美学 | 用镜头书写城市午夜诗集🌌</t>
  </si>
  <si>
    <t>日常/颜值/穿搭</t>
  </si>
  <si>
    <t>https://www.xiaohongshu.com/user/profile/5db098350000000001007ed0?xhsshare=CopyLink&amp;appuid=5f6887c9000000000100b2fc&amp;apptime=1666677324</t>
  </si>
  <si>
    <t>https://pgy.xiaohongshu.com/solar/pre-trade/blogger-detail/5db098350000000001007ed0?track_id=kolSearch_93a5c5c9bc2b4cf7a5244a913b3a0681&amp;source=Advertiser_Kol</t>
  </si>
  <si>
    <t>【传统文化】</t>
  </si>
  <si>
    <t>国风变装天花板 | 非遗文化新演绎 | 每帧都是电影级视觉盛宴🎇</t>
  </si>
  <si>
    <t>变装/剧情/弘扬传统文化</t>
  </si>
  <si>
    <t>200000（分发）</t>
  </si>
  <si>
    <t>https://www.xiaohongshu.com/user/profile/63427e74000000001802fe3e?xhsshare=CopyLink&amp;appuid=5f6887c9000000000100b2fc&amp;apptime=1669968325</t>
  </si>
  <si>
    <t>https://pgy.xiaohongshu.com/solar/pre-trade/blogger-detail/63427e74000000001802fe3e?track_id=kolSearch_cfb71f6ef9f944f48cdbf947084baea3&amp;source=Advertiser_Kol</t>
  </si>
  <si>
    <t>成都文化背包客 | 冷门景点+方言段子
文旅内容稀缺赛道 | 本地文旅项目推广</t>
  </si>
  <si>
    <t>旅游文化/段子</t>
  </si>
  <si>
    <t>https://www.xiaohongshu.com/user/profile/5f31dd7e00000000010001fa?xhsshare=CopyLink&amp;appuid=5f6887c9000000000100b2fc&amp;apptime=1688612831</t>
  </si>
  <si>
    <t>https://pgy.xiaohongshu.com/solar/pre-trade/blogger-detail/5f31dd7e00000000010001fa?track_id=kolSearch_a1b332f63bf14fc8b280e0cb0a076565&amp;source=Advertiser_Kol</t>
  </si>
  <si>
    <t>【汽车/测评】</t>
  </si>
  <si>
    <t>车圈段子手 | 硬核测评+趣味科普 | 把发动机讲成脱口秀的汽车博主🚘</t>
  </si>
  <si>
    <t>汽车/生活</t>
  </si>
  <si>
    <t>https://www.xiaohongshu.com/user/profile/612f5616000000000201db0b?language=zh-CN</t>
  </si>
  <si>
    <t>https://pgy.xiaohongshu.com/solar/pre-trade/blogger-detail/612f5616000000000201db0b?track_id=kolSearch_9e73eb1875e74f989bceae0bb29f7fd6&amp;source=Advertiser_Kol</t>
  </si>
  <si>
    <t>极速马力Part</t>
  </si>
  <si>
    <r>
      <rPr>
        <sz val="9"/>
        <color rgb="FF08090C"/>
        <rFont val="宋体"/>
        <charset val="134"/>
      </rPr>
      <t>⚡</t>
    </r>
    <r>
      <rPr>
        <sz val="9"/>
        <color rgb="FF08090C"/>
        <rFont val="微软雅黑"/>
        <charset val="134"/>
      </rPr>
      <t>成都性能控 | 改装指南+赛道体验 | 极速人生纪录片🎥</t>
    </r>
  </si>
  <si>
    <t>2000（分发）</t>
  </si>
  <si>
    <t>https://www.xiaohongshu.com/user/profile/5b2de90311be1024e027ab8c?xhsshare=CopyLink&amp;appuid=5f6887c9000000000100b2fc&amp;apptime=1679989323</t>
  </si>
  <si>
    <t>https://pgy.xiaohongshu.com/solar/pre-trade/blogger-detail/5b2de90311be1024e027ab8c?track_id=kolSearch_3158e6a1bc47489795180c8dfe191109&amp;source=Advertiser_Kol</t>
  </si>
  <si>
    <t>夏77🚗</t>
  </si>
  <si>
    <t>🚗女车主日记 | 自驾攻略+车载好物
女性车主内容蓝海| 车载好物推荐</t>
  </si>
  <si>
    <t>https://www.xiaohongshu.com/user/profile/58ca16696a6a69748a40c696</t>
  </si>
  <si>
    <t>https://pgy.xiaohongshu.com/solar/pre-trade/blogger-detail/58ca16696a6a69748a40c696?track_id=kolSearch_1689b999699e4ce5a4f961b85cdcb912&amp;source=Advertiser_Kol</t>
  </si>
  <si>
    <t>丁啊叮</t>
  </si>
  <si>
    <t>一个说车的川渝暴龙
女性车主内容蓝海| 好车推荐</t>
  </si>
  <si>
    <t>https://www.xiaohongshu.com/user/profile/63a6fc520000000027029c8d?xsec_token=YBMKUE5zHWtuVK9CJ4WxAUL4awILuSztcKGMn6ESd9LG0=&amp;xsec_source=app_share&amp;xhsshare=CopyLink&amp;appuid=5f6887c9000000000100b2fc&amp;apptime=1754877284&amp;share_id=af149f03946845b1b5f6d29b9273ef69</t>
  </si>
  <si>
    <t>https://pgy.xiaohongshu.com/solar/pre-trade/blogger-detail/63a6fc520000000027029c8d?track_id=</t>
  </si>
  <si>
    <t>一个亿呀</t>
  </si>
  <si>
    <t>1717money</t>
  </si>
  <si>
    <t>💰成都车圈财迷 | 汽车测评+美女日常 |</t>
  </si>
  <si>
    <t>https://www.xiaohongshu.com/user/profile/61e6675f0000000010009eae?xsec_token=YB2s8l_V2djyIJyBQa5RhPCuoJYQ7-LXmiZab8AlHuakw=&amp;xsec_source=app_share&amp;xhsshare=CopyLink&amp;appuid=5f6887c9000000000100b2fc&amp;apptime=1739338351&amp;share_id=53ed135c0c7b4467ae6c6c23e888e222</t>
  </si>
  <si>
    <t>https://pgy.xiaohongshu.com/solar/pre-trade/blogger-detail/61e6675f0000000010009eae?track_id=</t>
  </si>
  <si>
    <t>车圈教授 | 汽车冷知识+行业揭秘 | 把专业术语翻译成人话的科普博主👨🏫</t>
  </si>
  <si>
    <t>汽车/知识</t>
  </si>
  <si>
    <t>https://www.xiaohongshu.com/user/profile/60a3be24000000000100079b?xhsshare=CopyLink&amp;appuid=5f6887c9000000000100b2fc&amp;apptime=1665987318</t>
  </si>
  <si>
    <t>https://pgy.xiaohongshu.com/solar/pre-trade/blogger-detail/60a3be24000000000100079b?track_id=kolSearch_14ecd4a02923469d883f17d502f44cf7&amp;source=Advertiser_Kol</t>
  </si>
  <si>
    <t>切尔蜜</t>
  </si>
  <si>
    <t>🚙女司机养成记 | 汽车知识+新手避坑 | 小白也能看懂的硬核车评🔧</t>
  </si>
  <si>
    <t>汽车/颜值/日常</t>
  </si>
  <si>
    <t>https://www.xiaohongshu.com/user/profile/65850350000000001b032296?xhsshare=CopyLink&amp;appuid=5f6887c9000000000100b2fc&amp;apptime=1716184285</t>
  </si>
  <si>
    <t>https://pgy.xiaohongshu.com/solar/pre-trade/blogger-detail/65850350000000001b032296?track_id=kolSearch_e5fdf4f94e694e1a9bde6a2478d7f6fc&amp;source=Advertiser_Kol</t>
  </si>
  <si>
    <t>六抠抠</t>
  </si>
  <si>
    <r>
      <rPr>
        <sz val="9"/>
        <color rgb="FF08090C"/>
        <rFont val="微软雅黑"/>
        <charset val="134"/>
      </rPr>
      <t>持家小能手 | 家居神器测评+母婴好物 | 花小钱过出品质生活的秘密</t>
    </r>
    <r>
      <rPr>
        <sz val="9"/>
        <color rgb="FF08090C"/>
        <rFont val="宋体"/>
        <charset val="134"/>
      </rPr>
      <t>㊙</t>
    </r>
    <r>
      <rPr>
        <sz val="9"/>
        <color rgb="FF08090C"/>
        <rFont val="微软雅黑"/>
        <charset val="134"/>
      </rPr>
      <t>️</t>
    </r>
  </si>
  <si>
    <t>家居/测评/种草/母婴</t>
  </si>
  <si>
    <t>合集视频6000</t>
  </si>
  <si>
    <t>https://www.xiaohongshu.com/user/profile/60ab06f4000000000101f416?xhsshare=CopyLink&amp;appuid=5f6887c9000000000100b2fc&amp;apptime=1704441598</t>
  </si>
  <si>
    <t>https://pgy.xiaohongshu.com/solar/pre-trade/blogger-detail/60ab06f4000000000101f416?track_id=kolSearch_ca875e20646f47188b653093cc06d6ec&amp;source=Advertiser_Kol</t>
  </si>
  <si>
    <t>神奇A崽</t>
  </si>
  <si>
    <t>成都生活记录家 | 治愈系vlog达人 | 场景化种草专家</t>
  </si>
  <si>
    <t>生活/vlog</t>
  </si>
  <si>
    <t>坑一3000
坑二2000</t>
  </si>
  <si>
    <t>https://www.xiaohongshu.com/user/profile/63246d3a00000000230275e1?xhsshare=CopyLink&amp;appuid=5f6887c9000000000100b2fc&amp;apptime=1697786233</t>
  </si>
  <si>
    <t>https://pgy.xiaohongshu.com/solar/pre-trade/blogger-detail/63246d3a00000000230275e1?track_id=kolSearch_db75c6afaca64d6c96f30897f7874ac9&amp;source=Advertiser_Kol</t>
  </si>
  <si>
    <t>【OST传媒】懂车帝达人报价</t>
  </si>
  <si>
    <t>账号类型</t>
  </si>
  <si>
    <t>懂车帝账号</t>
  </si>
  <si>
    <t>粉丝（W）</t>
  </si>
  <si>
    <t>懂车帝价格</t>
  </si>
  <si>
    <t>分发视频价格</t>
  </si>
  <si>
    <t>主页链接</t>
  </si>
  <si>
    <t>说车的李二狗</t>
  </si>
  <si>
    <t>https://is.snssdk.com/motor/ugc/profile.html?link_source=share&amp;the_user_id=73208712518</t>
  </si>
  <si>
    <t>https://is.snssdk.com/motor/ugc/profile.html?link_source=share&amp;the_user_id=997974094390888</t>
  </si>
  <si>
    <t>https://is.snssdk.com/motor/ugc/profile.html?link_source=share&amp;the_user_id=104402962924</t>
  </si>
  <si>
    <t>周三拾正常更新</t>
  </si>
  <si>
    <t>https://is.snssdk.com/motor/ugc/profile.html?link_source=share&amp;the_user_id=3413348012532631</t>
  </si>
  <si>
    <t>夏夏MillionSS</t>
  </si>
  <si>
    <t>https://is.snssdk.com/motor/ugc/profile.html?link_source=share&amp;the_user_id=997944708048468</t>
  </si>
  <si>
    <t>https://is.snssdk.com/motor/ugc/profile.html?link_source=share&amp;the_user_id=7258424528</t>
  </si>
  <si>
    <t>【OST传媒】微信视频号报价</t>
  </si>
  <si>
    <t>微信视频账号</t>
  </si>
  <si>
    <t>视频号ID</t>
  </si>
  <si>
    <t>视频号价格</t>
  </si>
  <si>
    <t>互选平台</t>
  </si>
  <si>
    <t>sphR3gl9H3agbmG</t>
  </si>
  <si>
    <t>已开通</t>
  </si>
  <si>
    <t>音乐</t>
  </si>
  <si>
    <t>嘿人李逵Noisemakers</t>
  </si>
  <si>
    <t>sphgDSfZBP4UW4m</t>
  </si>
  <si>
    <t>国舞宛庭</t>
  </si>
  <si>
    <t>sphRsMNnuSLmxSg</t>
  </si>
  <si>
    <t>sphbntTTy9cm8ZN</t>
  </si>
  <si>
    <t>未开通</t>
  </si>
  <si>
    <t>刘焌棚-Rafael</t>
  </si>
  <si>
    <t>sphaFY5P2611uIW</t>
  </si>
  <si>
    <t>靖雅欧巴呀</t>
  </si>
  <si>
    <t>sphhiYMMIbxt5nL</t>
  </si>
  <si>
    <t>亲子</t>
  </si>
  <si>
    <t>sphu5HQJ7T1wcwr</t>
  </si>
  <si>
    <t>sphUikO7EeJOIQj</t>
  </si>
  <si>
    <t>sphEBjEv3Egaz7e</t>
  </si>
  <si>
    <t>大黄h.</t>
  </si>
  <si>
    <t>sphYvTxzH9joqJv</t>
  </si>
  <si>
    <t>无糖奶茶不加糖</t>
  </si>
  <si>
    <t>sphczG7NYDP3ycb</t>
  </si>
  <si>
    <t>sphG8g9USNVbaBe</t>
  </si>
  <si>
    <t>sphY9NjTvIIJxfS</t>
  </si>
  <si>
    <t>斯娘在这儿</t>
  </si>
  <si>
    <t>sphElf5ElnYFh3z</t>
  </si>
  <si>
    <t>sphQaxOteNPshI4</t>
  </si>
  <si>
    <t>晨晓义很OK</t>
  </si>
  <si>
    <t>sph6zyxP3bQOA7v</t>
  </si>
  <si>
    <t>文祺999</t>
  </si>
  <si>
    <t>sphEAmYk79nJGsK</t>
  </si>
  <si>
    <t>丁啊叮c</t>
  </si>
  <si>
    <t>sph85EuY9q3U3Bw</t>
  </si>
  <si>
    <t>切尔幂</t>
  </si>
  <si>
    <t>sph0tI7jd6kQZCi</t>
  </si>
  <si>
    <t>极速马力</t>
  </si>
  <si>
    <t>sphPaiJF9NkdRpR</t>
  </si>
  <si>
    <t>段子</t>
  </si>
  <si>
    <t>比格费西Bigfish</t>
  </si>
  <si>
    <t>sphzdj3iicSBAXx</t>
  </si>
  <si>
    <t>HeTianL</t>
  </si>
  <si>
    <t>sphfrTuz0WTVL3f</t>
  </si>
  <si>
    <t>秦文龙wl</t>
  </si>
  <si>
    <t>sphFVx4zeCpblPc</t>
  </si>
  <si>
    <t>超不可爱小博</t>
  </si>
  <si>
    <t>sphoe2JqDXhZ06t</t>
  </si>
  <si>
    <t>连蜜呀520a</t>
  </si>
  <si>
    <t>sphx39g8I8Js6pE</t>
  </si>
  <si>
    <t>不知名网友酥66</t>
  </si>
  <si>
    <t>sphIRhRyZiCTdg1</t>
  </si>
  <si>
    <t>【OST传媒】快手账号报价</t>
  </si>
  <si>
    <t>快手账号名称</t>
  </si>
  <si>
    <t>账号ID</t>
  </si>
  <si>
    <t>标签</t>
  </si>
  <si>
    <t>粉丝量(W)</t>
  </si>
  <si>
    <t>快手1-20s</t>
  </si>
  <si>
    <t>快手21-60s</t>
  </si>
  <si>
    <t>快手60s+</t>
  </si>
  <si>
    <t>快接单</t>
  </si>
  <si>
    <t>变装、剧情</t>
  </si>
  <si>
    <t>https://live.kuaishou.com/profile/3xi4apqvqnf7g7y</t>
  </si>
  <si>
    <t>Handsomeht</t>
  </si>
  <si>
    <t>https://live.kuaishou.com/profile/Handsomeht</t>
  </si>
  <si>
    <t>https://live.kuaishou.com/profile/CbkaXiaoBo</t>
  </si>
  <si>
    <t>游戏</t>
  </si>
  <si>
    <t>https://live.kuaishou.com/profile/3xqsxy7pk7b3rq9</t>
  </si>
  <si>
    <t>剧情、颜值</t>
  </si>
  <si>
    <t>https://live.kuaishou.com/profile/yaner957</t>
  </si>
  <si>
    <t>https://live.kuaishou.com/profile/Roududu1998z</t>
  </si>
  <si>
    <t>https://live.kuaishou.com/profile/Dahuangh</t>
  </si>
  <si>
    <t>玉总lesley</t>
  </si>
  <si>
    <t>剧情、职场</t>
  </si>
  <si>
    <t>https://live.kuaishou.com/profile/3xbn4pn987uua5q</t>
  </si>
  <si>
    <t>https://live.kuaishou.com/profile/Jinbo9805</t>
  </si>
  <si>
    <t>胖嘟嘟的嘟嘟哇</t>
  </si>
  <si>
    <t>剧情、母婴</t>
  </si>
  <si>
    <t>https://live.kuaishou.com/profile/xiaodudu20181208</t>
  </si>
  <si>
    <t>https://live.kuaishou.com/profile/3xt6e7ftwjievc4</t>
  </si>
  <si>
    <t>https://live.kuaishou.com/profile/wutangnaicha23</t>
  </si>
  <si>
    <t>19000（分发）</t>
  </si>
  <si>
    <t>https://live.kuaishou.com/profile/zhousanshi0818</t>
  </si>
  <si>
    <t>丁啊叮dd</t>
  </si>
  <si>
    <t>https://live.kuaishou.com/profile/3xjjzysswd2hqqm</t>
  </si>
  <si>
    <t>https://live.kuaishou.com/profile/bigefeixi</t>
  </si>
  <si>
    <t>神秘的贺某人</t>
  </si>
  <si>
    <t>Gao1791896837</t>
  </si>
  <si>
    <t>颜值、段子</t>
  </si>
  <si>
    <t>https://live.kuaishou.com/profile/Gao1791896837</t>
  </si>
  <si>
    <t>Q秦文龙</t>
  </si>
  <si>
    <t>ygxdwl666</t>
  </si>
  <si>
    <t>颜值、小哥哥</t>
  </si>
  <si>
    <t>150000
（直播1h30000）</t>
  </si>
  <si>
    <t>https://live.kuaishou.com/profile/ygxdwl666</t>
  </si>
  <si>
    <t>Xiaxia977</t>
  </si>
  <si>
    <t>颜值，变装</t>
  </si>
  <si>
    <t>https://live.kuaishou.com/profile/Xiaxia977</t>
  </si>
  <si>
    <t>yihang112244</t>
  </si>
  <si>
    <t>https://live.kuaishou.com/profile/yihang112244</t>
  </si>
  <si>
    <t>https://live.kuaishou.com/profile/xrr888006</t>
  </si>
  <si>
    <t>不知名网友酥-</t>
  </si>
  <si>
    <t>https://live.kuaishou.com/profile/3xj78c5x4zubde9</t>
  </si>
  <si>
    <t>https://v.kuaishou.com/kpTXgm</t>
  </si>
  <si>
    <t>xxy1129xy</t>
  </si>
  <si>
    <t>https://live.kuaishou.com/profile/xxy1129xy</t>
  </si>
  <si>
    <t>嘿 黄锐铨</t>
  </si>
  <si>
    <t>A7777774-</t>
  </si>
  <si>
    <t>https://live.kuaishou.com/profile/A77777774_</t>
  </si>
  <si>
    <t>洛丽塔大哥lo</t>
  </si>
  <si>
    <t>https://v.kuaishou.com/iTF8WX</t>
  </si>
  <si>
    <t>二次元</t>
  </si>
  <si>
    <t>小年Nian（导演，演员</t>
  </si>
  <si>
    <t>开通中</t>
  </si>
  <si>
    <t>https://live.kuaishou.com/profile/Thesmallyear</t>
  </si>
  <si>
    <t>情侣</t>
  </si>
  <si>
    <t>晨晓义（解忧剧场）</t>
  </si>
  <si>
    <t>KK13881688</t>
  </si>
  <si>
    <t>情侣、段子</t>
  </si>
  <si>
    <t>https://live.kuaishou.com/profile/KK13881688</t>
  </si>
  <si>
    <t>侯博</t>
  </si>
  <si>
    <t>https://v.kuaishou.com/KIJDmKoP</t>
  </si>
  <si>
    <t>【OST传媒】B站账号报价</t>
  </si>
  <si>
    <t>账号</t>
  </si>
  <si>
    <t>UID</t>
  </si>
  <si>
    <t>获赞数（W）</t>
  </si>
  <si>
    <t>定制视频</t>
  </si>
  <si>
    <t>植入视频</t>
  </si>
  <si>
    <t>直发动态</t>
  </si>
  <si>
    <t>转发动态</t>
  </si>
  <si>
    <t>https://space.bilibili.com/30139938?spm_id_from=333.337.0.0</t>
  </si>
  <si>
    <t>影视</t>
  </si>
  <si>
    <t>400000（分发）</t>
  </si>
  <si>
    <t>淘气雪蕊</t>
  </si>
  <si>
    <t>https://space.bilibili.com/686354330?spm_id_from=333.337.0.0</t>
  </si>
  <si>
    <t>彦儿_SARIEL</t>
  </si>
  <si>
    <t>https://space.bilibili.com/1752056466?spm_id_from=333.337.0.0</t>
  </si>
  <si>
    <t>https://b23.tv/5RDMxVH</t>
  </si>
  <si>
    <t>50000
20000（分发）</t>
  </si>
  <si>
    <t>超不可爱小朋友nice</t>
  </si>
  <si>
    <t>https://space.bilibili.com/501663225?spm_id_from=333.337.0.0</t>
  </si>
  <si>
    <t>时尚</t>
  </si>
  <si>
    <t>3494370374322460</t>
  </si>
  <si>
    <t>https://space.bilibili.com/3494370374322460?spm_id_from=333.337.0.0</t>
  </si>
  <si>
    <t>5000(分发)</t>
  </si>
  <si>
    <t>https://space.bilibili.com/2069267165?spm_id_from=333.337.0.0</t>
  </si>
  <si>
    <t>10000（分发）</t>
  </si>
  <si>
    <t>https://space.bilibili.com/1171192768?spm_id_from=333.337.0.0</t>
  </si>
  <si>
    <t>12500（分发）</t>
  </si>
  <si>
    <t>10000(分发)</t>
  </si>
  <si>
    <t>豚豚丶大魔王</t>
  </si>
  <si>
    <t>https://space.bilibili.com/438538373?spm_id_from=333.337.0.0</t>
  </si>
  <si>
    <t>小谢潇羽x</t>
  </si>
  <si>
    <t>https://space.bilibili.com/1476802359?spm_id_from=333.337.0.0</t>
  </si>
  <si>
    <t>https://space.bilibili.com/1443466116?spm_id_from=333.337.0.0</t>
  </si>
  <si>
    <t>大黄Ha</t>
  </si>
  <si>
    <t>https://space.bilibili.com/1972786116?spm_id_from=333.337.0.0</t>
  </si>
  <si>
    <t>2000(分发)</t>
  </si>
  <si>
    <t>是无糖奶茶</t>
  </si>
  <si>
    <t>https://space.bilibili.com/1376579261?spm_id_from=333.337.0.0</t>
  </si>
  <si>
    <t>星图链接</t>
  </si>
  <si>
    <t>朱朱朱</t>
  </si>
  <si>
    <t>https://v.douyin.com/mQXUpIr3xO0/</t>
  </si>
  <si>
    <t>https://www.xingtu.cn/ad/creator/author-homepage/douyin-video/7076403130594033678?market_track_id=P8TI4U0ZI419EIVFDDYY&amp;search_session_id=7550213941088731178&amp;possessStarId</t>
  </si>
  <si>
    <t>OKCS发膜、foreverkey发际线泥、美图秀秀</t>
  </si>
  <si>
    <t>kuikuijia2019</t>
  </si>
  <si>
    <t>音乐、说唱</t>
  </si>
  <si>
    <t>https://v.douyin.com/jcNSUkH/</t>
  </si>
  <si>
    <t>https://www.xingtu.cn/ad/creator/author-homepage/douyin-video/6596677802471194632?market_track_id=7K3P848J94AIY0B8HVXG&amp;search_session_id=7550214716455993398&amp;possessStarId</t>
  </si>
  <si>
    <t>乐堡、肯德基、江小白、百事可乐、淘宝、天猫、长城、凯迪拉克、哈弗、乌江寨景区、《第二十条》电影宣发</t>
  </si>
  <si>
    <t>唐一嘉&amp;小黄毛儿</t>
  </si>
  <si>
    <t>Tangyijia</t>
  </si>
  <si>
    <t>音乐、翻唱</t>
  </si>
  <si>
    <t>https://v.douyin.com/KgqDkX/</t>
  </si>
  <si>
    <t>https://www.xingtu.cn/ad/creator/author-homepage/douyin-video/6813232546902458375?market_track_id=BVDKVPFUAWIVRPM3WPB2&amp;search_session_id=7550214842054377491&amp;possessStarId</t>
  </si>
  <si>
    <t>百度、Cleer、雀巢、BOSE、爱乐维 、博越、曼秀雷敦</t>
  </si>
  <si>
    <t>刘欣悦🎤</t>
  </si>
  <si>
    <t>liuxinyueaichang</t>
  </si>
  <si>
    <t>https://v.douyin.com/rfgepnY/</t>
  </si>
  <si>
    <t>https://www.xingtu.cn/ad/creator/author-homepage/douyin-video/7128380987993489438?market_track_id=3XWNK7LWA21OEENNFR80&amp;search_session_id=7550214870017998891&amp;possessStarId</t>
  </si>
  <si>
    <t>吉利缤越、饿了么</t>
  </si>
  <si>
    <t>舞编k文</t>
  </si>
  <si>
    <t>K.13736999837</t>
  </si>
  <si>
    <t>https://v.douyin.com/yNkevye/</t>
  </si>
  <si>
    <t>https://www.xingtu.cn/ad/creator/author-homepage/douyin-video/6596679498022780936?market_track_id=OT328YAVVPOJZEPAV52J&amp;search_session_id=7550215036942712851&amp;possessStarId</t>
  </si>
  <si>
    <t>太太乐、安踏、度小满、京东健康</t>
  </si>
  <si>
    <t>浙江</t>
  </si>
  <si>
    <t>珞梵哥哥</t>
  </si>
  <si>
    <t>cx981105</t>
  </si>
  <si>
    <t>https://v.douyin.com/e1dopKv/</t>
  </si>
  <si>
    <t>https://www.xingtu.cn/ad/creator/author-homepage/douyin-video/6801043323701166093?market_track_id=WRWTEVNZUU1314FZAKXZ&amp;search_session_id=7550215047575666724&amp;possessStarId</t>
  </si>
  <si>
    <t>三星Galaxy、九牧、名爵、adidas、青梅绿茶、百度</t>
  </si>
  <si>
    <t>鎏汐</t>
  </si>
  <si>
    <t>nnnnn0325</t>
  </si>
  <si>
    <t>https://v.douyin.com/2W7nbwM/</t>
  </si>
  <si>
    <t>https://www.xingtu.cn/ad/creator/author-homepage/douyin-video/7118636721230577700?market_track_id=3VV5ZBKXKBMKIPIX3IZH&amp;search_session_id=7550215159429333031&amp;possessStarId</t>
  </si>
  <si>
    <t>燕之屋</t>
  </si>
  <si>
    <t>https://v.douyin.com/i2nY4afF/</t>
  </si>
  <si>
    <t>https://www.xingtu.cn/ad/creator/author-homepage/douyin-video/7300476344071110693?market_track_id=715DEKOOY6EFZPKN3OS6&amp;search_session_id=7550216179446022183&amp;possessStarId</t>
  </si>
  <si>
    <t>长轴距小助理</t>
  </si>
  <si>
    <t>lindang666</t>
  </si>
  <si>
    <t>https://v.douyin.com/e1dnU3C/</t>
  </si>
  <si>
    <t>https://www.xingtu.cn/ad/creator/author-homepage/douyin-video/6810311904263667719?market_track_id=26ZQGJM6ARET41LHTQMT&amp;search_session_id=7550216389245009961&amp;possessStarId</t>
  </si>
  <si>
    <t>星途、吉利、飞利浦、新宝骏、五菱、大众宝来、郑州日常、丰田凌尚、北京现代、影腾</t>
  </si>
  <si>
    <t>优栗鼠</t>
  </si>
  <si>
    <t>kurii</t>
  </si>
  <si>
    <t>颜值、美妆</t>
  </si>
  <si>
    <t>https://v.douyin.com/MGD2ddg/</t>
  </si>
  <si>
    <t>https://www.xingtu.cn/ad/creator/author-homepage/douyin-video/6870160278256877575?market_track_id=3LL79BGB9UFX09DG0NHY&amp;search_session_id=7550216925402562596&amp;possessStarId</t>
  </si>
  <si>
    <t>哈利波特、旺旺浪味仙、DR钻戒、甜盐相机、第五人格、逆水寒、比亚迪、联想、飞鹤、肯德基</t>
  </si>
  <si>
    <t>尾巴</t>
  </si>
  <si>
    <t>twotails</t>
  </si>
  <si>
    <t>美妆、穿搭</t>
  </si>
  <si>
    <t>https://v.douyin.com/M2Vyncu/</t>
  </si>
  <si>
    <t>https://www.xingtu.cn/ad/creator/author-homepage/douyin-video/7166195684566122527?market_track_id=6WOEC7LBA7M44FGNOW6D&amp;search_session_id=7550216883361103914&amp;possessStarId</t>
  </si>
  <si>
    <t>炫诗发膜</t>
  </si>
  <si>
    <t>Fanny</t>
  </si>
  <si>
    <t>Cutefxp</t>
  </si>
  <si>
    <t>https://v.douyin.com/r9u5aCX/</t>
  </si>
  <si>
    <t>https://www.xingtu.cn/ad/creator/author-homepage/douyin-video/6975046900315602952?market_track_id=ZRCHHS6E7TF880DRTDWR&amp;search_session_id=7550217075030278183&amp;possessStarId</t>
  </si>
  <si>
    <t>Gucci、淂意</t>
  </si>
  <si>
    <t>山东</t>
  </si>
  <si>
    <t>我不是保琳球</t>
  </si>
  <si>
    <t>颜值、穿搭</t>
  </si>
  <si>
    <t>https://v.douyin.com/yFCq9y3/</t>
  </si>
  <si>
    <t>https://www.xingtu.cn/ad/creator/author-homepage/douyin-video/7055186462358110239?market_track_id=0S6MHXHBLH5VC2WLNDJ2&amp;search_session_id=7550217075030540327&amp;possessStarId</t>
  </si>
  <si>
    <t>得物、支付宝、菜鸟驿站</t>
  </si>
  <si>
    <t>雪儿🌞</t>
  </si>
  <si>
    <t>zss19960205</t>
  </si>
  <si>
    <t>https://v.douyin.com/88tpRCb/</t>
  </si>
  <si>
    <t>https://www.xingtu.cn/ad/creator/author-homepage/douyin-video/6871549993585475587?market_track_id=RH48477MKB1VR1UNYGCS&amp;search_session_id=7550217075030884391&amp;possessStarId</t>
  </si>
  <si>
    <t>58同城、得物、唯品会、梦幻西游、海尔、抖音春节</t>
  </si>
  <si>
    <t>混血两公主</t>
  </si>
  <si>
    <t>gong8825127</t>
  </si>
  <si>
    <t>亲子、日常</t>
  </si>
  <si>
    <t>https://v.douyin.com/Nxd9ASM/</t>
  </si>
  <si>
    <t>https://www.xingtu.cn/ad/creator/author-homepage/douyin-video/6771687805455171592?market_track_id=BH5AYQ2H363H7JB3I40B&amp;search_session_id=7550217227610570793&amp;possessStarId</t>
  </si>
  <si>
    <t>伊利兔子舞 、雅培菁挚有机、哈药集团、阿夏家服饰 、阿卡索</t>
  </si>
  <si>
    <t>奥地利</t>
  </si>
  <si>
    <t>yuzong228</t>
  </si>
  <si>
    <t>剧情、日常</t>
  </si>
  <si>
    <t>https://v.douyin.com/nthyDT/</t>
  </si>
  <si>
    <t>https://www.xingtu.cn/ad/creator/author-homepage/douyin-video/6760484915038388231?market_track_id=D2I814U0YF0H0S78V4NX&amp;search_session_id=7550217255607664679&amp;possessStarId</t>
  </si>
  <si>
    <t>橙心优选、bioagen肌光瓶、燕之屋、松下美容仪、谷心注氧仪、海尔空气炸锅、小吉法式冰箱</t>
  </si>
  <si>
    <t>一航（演员版）</t>
  </si>
  <si>
    <t>yihang1124</t>
  </si>
  <si>
    <t>https://v.douyin.com/NYLfLoo/</t>
  </si>
  <si>
    <t>https://www.xingtu.cn/ad/creator/author-homepage/douyin-video/6800827006318542862?market_track_id=WGDIPUY8NR4CR015XCAO&amp;search_session_id=7550217227611275305&amp;possessStarId</t>
  </si>
  <si>
    <t>瑞幸咖啡、DR、adidas、安慕希、奇瑞、菜鸟驿站、喜力、劲霸男装、捷达、九牧王</t>
  </si>
  <si>
    <t>于洋2.0</t>
  </si>
  <si>
    <t>yuyang558899</t>
  </si>
  <si>
    <t>https://v.douyin.com/M3spsCWS4Tc/</t>
  </si>
  <si>
    <t>https://www.xingtu.cn/ad/creator/author-homepage/douyin-video/6615821710526513155?market_track_id=J9CDG8ZG8UK9OYQGJ5M5&amp;search_session_id=7550217578959552566&amp;possessStarId</t>
  </si>
  <si>
    <t>骆达华</t>
  </si>
  <si>
    <t>luodahuajinw</t>
  </si>
  <si>
    <t>演员、日常</t>
  </si>
  <si>
    <t>https://v.douyin.com/2UXTXty/</t>
  </si>
  <si>
    <t>https://www.xingtu.cn/ad/creator/author-homepage/douyin-video/6746850933226864648?market_track_id=37LQJRA8RFLWA1W5KMPR&amp;search_session_id=7550218188709986367&amp;possessStarId&amp;active_tab=content_performance&amp;active_module=.content-video-list-panel&amp;content_key_word=%E9%AA%86%E8%BE%BE%E5%8D%8E</t>
  </si>
  <si>
    <t>小糊涂仙酒</t>
  </si>
  <si>
    <t>雪蕊宝宝</t>
  </si>
  <si>
    <t>Xr96620</t>
  </si>
  <si>
    <t>https://v.douyin.com/i8aCMmDk/</t>
  </si>
  <si>
    <t>https://www.xingtu.cn/ad/creator/author-homepage/douyin-video/6870161239037706253?market_track_id=KGDOIV1C637VKVSO8BCI&amp;search_session_id=7550218122440671274&amp;possessStarId</t>
  </si>
  <si>
    <t>明治巧克力、五菱、小米、荣耀</t>
  </si>
  <si>
    <t>在下李不</t>
  </si>
  <si>
    <t>libulo</t>
  </si>
  <si>
    <t>https://v.douyin.com/hRNGF1m/</t>
  </si>
  <si>
    <t>https://www.xingtu.cn/ad/creator/author-homepage/douyin-video/6870171692560285704?market_track_id=PKGA9TFTOJ2PF6UVNROI&amp;search_session_id=7550218365831479337&amp;possessStarId</t>
  </si>
  <si>
    <t>好利来、雀巢、太太乐、拼多多、《飞驰人生2》观影宣传、《哥斯拉大战金刚2》</t>
  </si>
  <si>
    <t>惠州</t>
  </si>
  <si>
    <t>小白不小</t>
  </si>
  <si>
    <t>xiaobaibuxiao214</t>
  </si>
  <si>
    <t>日常、搞笑</t>
  </si>
  <si>
    <t>https://v.douyin.com/vP3VmxRgiLI/</t>
  </si>
  <si>
    <t>https://www.xingtu.cn/ad/creator/author-homepage/douyin-video/6939042595356016652?market_track_id=RLBNH1FQESPB8C52YN6Q&amp;search_session_id=7550218385226334251&amp;possessStarId</t>
  </si>
  <si>
    <t>方东东</t>
  </si>
  <si>
    <t>FQD0116</t>
  </si>
  <si>
    <t>https://v.douyin.com/6YgpP71/</t>
  </si>
  <si>
    <t>https://www.xingtu.cn/ad/creator/author-homepage/douyin-video/6793167491402039303?market_track_id=7F8A7KC1KF4UKHWNALGM&amp;search_session_id=7550218554697007123&amp;possessStarId</t>
  </si>
  <si>
    <t>大众新威然</t>
  </si>
  <si>
    <t>江小帆帆💥</t>
  </si>
  <si>
    <t>Jiangfan1102</t>
  </si>
  <si>
    <t>https://v.douyin.com/eaRJPHe/</t>
  </si>
  <si>
    <t>https://www.xingtu.cn/ad/creator/author-homepage/douyin-video/6640252091245789188?market_track_id=JNL5RRSOVC13VRKRVW2N&amp;search_session_id=7550218554697433107&amp;possessStarId</t>
  </si>
  <si>
    <t>长安汽车、零跑、猎聘、东风风神、</t>
  </si>
  <si>
    <t>一个美少鹿</t>
  </si>
  <si>
    <t>luyy1118</t>
  </si>
  <si>
    <t>https://v.douyin.com/BbNG319/</t>
  </si>
  <si>
    <t>https://www.xingtu.cn/ad/creator/author-homepage/douyin-video/6894600608431472640?market_track_id=TVMBBD6DFZ3H97QQ0N06&amp;search_session_id=7506430716956180521&amp;video_type=2&amp;_route_from=from_page%3DMarket%26search_session_id%3D7506430716956180521%26is_for_order%3D1%26market_track_id%3DTVMBBD6DFZ3H97QQ0N06%26platform_source%3D1%26key%3D%25E4%25B8%2580%25E4%25B8%25AA%25E7%25BE%258E%25E5%25B0%2591%25E9%25B9%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</si>
  <si>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娇兰、ysl、tomford、Chanel、dior 、Bobbi brown、祖玛珑、植村秀、mac、太平鸟雅迪冠能摩登、诗词摇扇变装挑战、LAMER、施华蔻、淘宝</t>
  </si>
  <si>
    <t>大理</t>
  </si>
  <si>
    <t>🍀秦文龙</t>
  </si>
  <si>
    <t>https://v.douyin.com/JSacLxr/</t>
  </si>
  <si>
    <t>https://www.xingtu.cn/ad/creator/author-homepage/douyin-video/6629723424748994564?market_track_id=YXGB38SFJ1L77C44WCD0&amp;search_session_id=7550218778458472511&amp;possessStarId</t>
  </si>
  <si>
    <t>德芙、安慕希、OPPO、谷粒多、深蓝、得物，三元，微拍堂、云南白药、海澜之家等、货拉拉、Xbox、999感冒灵、美团</t>
  </si>
  <si>
    <t>川剧·吴菁菁</t>
  </si>
  <si>
    <t>Wujingjingyouxiu</t>
  </si>
  <si>
    <t>日常、戏曲</t>
  </si>
  <si>
    <t>https://v.douyin.com/iY85wBRt/</t>
  </si>
  <si>
    <t>https://www.xingtu.cn/ad/creator/author-homepage/douyin-video/7237162630903758881?market_track_id=K0JCD31RB8NPRC5GRY4H&amp;search_session_id=7550218956808880170&amp;possessStarId</t>
  </si>
  <si>
    <t>维氏</t>
  </si>
  <si>
    <t>贺某人</t>
  </si>
  <si>
    <t>gao1792896837</t>
  </si>
  <si>
    <t>https://v.douyin.com/M9X4uma/</t>
  </si>
  <si>
    <t>https://www.xingtu.cn/ad/creator/author-homepage/douyin-video/6870164886391881736?market_track_id=3FH7KLPJGOFGX0PPVEEQ&amp;search_session_id=7550219048240283702&amp;possessStarId</t>
  </si>
  <si>
    <t>元梦之星、自然堂、淘特，货拉拉，淘宝，讯飞输入法，中国移动，支付宝等</t>
  </si>
  <si>
    <t>陈泽宇</t>
  </si>
  <si>
    <t>https://v.douyin.com/A4Wbyjf/</t>
  </si>
  <si>
    <t>https://www.xingtu.cn/ad/creator/author-homepage/douyin-video/6596679478083059716?market_track_id=YRGBT4HZY5V5CK4RMLOT&amp;search_session_id=7550219100434202643&amp;possessStarId</t>
  </si>
  <si>
    <t>光遇</t>
  </si>
  <si>
    <t>文祺</t>
  </si>
  <si>
    <t>wenqi1666</t>
  </si>
  <si>
    <t>舞蹈、汽车</t>
  </si>
  <si>
    <t>https://v.douyin.com/e1doPyC/</t>
  </si>
  <si>
    <t>https://www.xingtu.cn/ad/creator/author-homepage/douyin-video/6752283658423369736?market_track_id=QBTA8M6RSOE4YX5DOC9T&amp;search_session_id=7550219048241184822&amp;possessStarId</t>
  </si>
  <si>
    <t>卡宾、芝华士、voss矿泉水、合创汽车、永辉、零跑汽车、长安、荣威</t>
  </si>
  <si>
    <t>黄毅豪LeoWong</t>
  </si>
  <si>
    <t>https://v.douyin.com/DDtQneX/</t>
  </si>
  <si>
    <t>https://www.xingtu.cn/ad/creator/author-homepage/douyin-video/6629661007348236302?market_track_id=FFE8SV4SP2U10W5XYRKU&amp;search_session_id=7550219239991345195&amp;possessStarId</t>
  </si>
  <si>
    <t>欢乐谷、小米、Unny、飞利浦、蛋仔派对、闲鱼、肌肤未来</t>
  </si>
  <si>
    <t>刘煜轩kab</t>
  </si>
  <si>
    <t>lyxxxkab</t>
  </si>
  <si>
    <t>https://v.douyin.com/2YyFKRa/</t>
  </si>
  <si>
    <t>https://www.xingtu.cn/ad/creator/author-homepage/douyin-video/6857897954808692750?market_track_id=HWN95LTAQCHX7FK4HG2R&amp;search_session_id=7550219239991771179&amp;possessStarId</t>
  </si>
  <si>
    <t>森马、荣威、元梦之星、比亚迪</t>
  </si>
  <si>
    <t>是蕾蕾呐</t>
  </si>
  <si>
    <t>shileileina</t>
  </si>
  <si>
    <t>https://v.douyin.com/e18x2s1/</t>
  </si>
  <si>
    <t>https://www.xingtu.cn/ad/creator/author-homepage/douyin-video/6677157331165249539?market_track_id=TC09IWAFYQRVSS5KRSSL&amp;search_session_id=7550219394329231403&amp;possessStarId</t>
  </si>
  <si>
    <t>椰树椰汁、江小白、格林堡、林肯、吉利帝豪、广汽丰田、零跑、万国觉醒、梦龙</t>
  </si>
  <si>
    <t>一只鹿璃</t>
  </si>
  <si>
    <t>520520cclol</t>
  </si>
  <si>
    <t>https://v.douyin.com/M24DLmv/</t>
  </si>
  <si>
    <t>https://www.xingtu.cn/ad/creator/author-homepage/douyin-video/6696322364461809672?market_track_id=M6EWHH08FJHCIL1ZSS64&amp;search_session_id=7550219449585025087&amp;possessStarId</t>
  </si>
  <si>
    <t>我是小晨</t>
  </si>
  <si>
    <t>https://v.douyin.com/rBBM3qN/</t>
  </si>
  <si>
    <t>https://www.xingtu.cn/ad/creator/author-homepage/douyin-video/6870162535404797965?market_track_id=K1Y6UN6CBDFD07ZPM7F4&amp;search_session_id=7550219598248968246&amp;possessStarId</t>
  </si>
  <si>
    <t>DR、得物、拼多多、长安汽车、闲鱼、七匹狼、坦克、ppge冲锋衣</t>
  </si>
  <si>
    <t>绍兴</t>
  </si>
  <si>
    <t>温在源Aikey</t>
  </si>
  <si>
    <t>Wen0115</t>
  </si>
  <si>
    <t>https://v.douyin.com/hqXeQ5d/</t>
  </si>
  <si>
    <t>https://www.xingtu.cn/ad/creator/author-homepage/douyin-video/6742066222692565006?market_track_id=FZADQ8CXP9WR64C04VUF&amp;search_session_id=7550219814963724307&amp;possessStarId</t>
  </si>
  <si>
    <t>觅光AMIRO、海尔智家、卡西欧、拼多多、成都文殊坊、Mistine、德克士、蛋仔派对、</t>
  </si>
  <si>
    <r>
      <rPr>
        <sz val="10"/>
        <color rgb="FF08090C"/>
        <rFont val="微软雅黑"/>
        <charset val="134"/>
      </rPr>
      <t>小天才🪄</t>
    </r>
    <r>
      <rPr>
        <sz val="10"/>
        <color rgb="FF08090C"/>
        <rFont val="宋体"/>
        <charset val="134"/>
      </rPr>
      <t>✨</t>
    </r>
  </si>
  <si>
    <t>BabyGenius233</t>
  </si>
  <si>
    <t>https://v.douyin.com/C2FPaiMOprM/</t>
  </si>
  <si>
    <t>https://www.xingtu.cn/ad/creator/author-homepage/douyin-video/7001886618818707491?market_track_id=PA8P24MD9ZNXK2NVY5FY&amp;search_session_id=7550219864423481387&amp;possessStarId</t>
  </si>
  <si>
    <t>捣蛋丸子🤪</t>
  </si>
  <si>
    <t>https://v.douyin.com/eNCkcEU/</t>
  </si>
  <si>
    <t>https://www.xingtu.cn/ad/creator/author-homepage/douyin-video/6870164604043919367?market_track_id=KCUK9D94UPOOJ5HYMO6W&amp;search_session_id=7550219973672501291&amp;possessStarId</t>
  </si>
  <si>
    <t>成都汽车节</t>
  </si>
  <si>
    <t>羊羊</t>
  </si>
  <si>
    <t>瑜伽、颜值</t>
  </si>
  <si>
    <t>https://v.douyin.com/i8cKAwaa/ 8@0.com</t>
  </si>
  <si>
    <t>https://www.xingtu.cn/ad/creator/author-homepage/douyin-video/7281638336735739943?market_track_id=8GK099J7N7JPB8RYHF8U&amp;search_session_id=7550220054031089703&amp;possessStarId</t>
  </si>
  <si>
    <t>gìngìn</t>
  </si>
  <si>
    <t>Ch95Beat</t>
  </si>
  <si>
    <t>音乐、Bbox</t>
  </si>
  <si>
    <t>https://v.douyin.com/FswYnjx/</t>
  </si>
  <si>
    <t>https://www.xingtu.cn/ad/creator/author-homepage/douyin-video/7062567598881243151?market_track_id=JH9AXT9UZ5CVRQUTBKEH&amp;search_session_id=7550220484609982506&amp;possessStarId</t>
  </si>
  <si>
    <t>遂宁</t>
  </si>
  <si>
    <t>李在溪·7BOY</t>
  </si>
  <si>
    <t>Lzx_971111</t>
  </si>
  <si>
    <t>https://v.douyin.com/idjuYaHy/</t>
  </si>
  <si>
    <t>https://www.xingtu.cn/ad/creator/author-homepage/douyin-video/7283823086028193803?market_track_id=2LT707YXXASNCHJM9C3E&amp;search_session_id=7550220625697620010&amp;possessStarId</t>
  </si>
  <si>
    <t>葡🍇</t>
  </si>
  <si>
    <t>音乐、琵琶</t>
  </si>
  <si>
    <t>https://v.douyin.com/iJW1TXLv/</t>
  </si>
  <si>
    <t>https://www.xingtu.cn/ad/creator/author-homepage/douyin-video/7270472015461482554?market_track_id=YRQZCKGS6C6XRPVJ5T7Y&amp;search_session_id=7550220784732897316&amp;possessStarId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</si>
</sst>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5" formatCode="&quot;￥&quot;#,##0;&quot;￥&quot;\-#,##0"/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&quot;.&quot;0,&quot;万&quot;"/>
    <numFmt numFmtId="178" formatCode="&quot;￥&quot;#,##0_);[Red]\(&quot;￥&quot;#,##0\)"/>
    <numFmt numFmtId="179" formatCode="#,##0;[Red]#,##0"/>
    <numFmt numFmtId="180" formatCode="0;[Red]0"/>
  </numFmts>
  <fonts count="6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0"/>
      <name val="微软雅黑"/>
      <charset val="134"/>
    </font>
    <font>
      <sz val="9"/>
      <color rgb="FF08090C"/>
      <name val="微软雅黑"/>
      <charset val="134"/>
    </font>
    <font>
      <sz val="10"/>
      <color rgb="FF08090C"/>
      <name val="微软雅黑"/>
      <charset val="134"/>
    </font>
    <font>
      <sz val="11"/>
      <color rgb="FF08090C"/>
      <name val="宋体"/>
      <charset val="134"/>
      <scheme val="minor"/>
    </font>
    <font>
      <sz val="9"/>
      <color theme="1"/>
      <name val="微软雅黑"/>
      <charset val="134"/>
    </font>
    <font>
      <b/>
      <sz val="20"/>
      <name val="微软雅黑"/>
      <charset val="134"/>
    </font>
    <font>
      <b/>
      <sz val="10"/>
      <name val="微软雅黑"/>
      <charset val="134"/>
    </font>
    <font>
      <sz val="11"/>
      <name val="宋体"/>
      <charset val="134"/>
      <scheme val="minor"/>
    </font>
    <font>
      <sz val="10"/>
      <color rgb="FF08090C"/>
      <name val="宋体"/>
      <charset val="134"/>
      <scheme val="minor"/>
    </font>
    <font>
      <sz val="9"/>
      <color rgb="FF08090C"/>
      <name val="宋体"/>
      <charset val="134"/>
      <scheme val="minor"/>
    </font>
    <font>
      <sz val="9"/>
      <color rgb="FF08090C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26"/>
      <color rgb="FF000000"/>
      <name val="微软雅黑"/>
      <charset val="134"/>
    </font>
    <font>
      <sz val="18"/>
      <color theme="0"/>
      <name val="微软雅黑"/>
      <charset val="134"/>
    </font>
    <font>
      <b/>
      <sz val="10"/>
      <color rgb="FFFF0000"/>
      <name val="微软雅黑"/>
      <charset val="134"/>
    </font>
    <font>
      <sz val="8"/>
      <color rgb="FF08090C"/>
      <name val="微软雅黑 Light"/>
      <charset val="134"/>
    </font>
    <font>
      <sz val="18"/>
      <color rgb="FF08090C"/>
      <name val="微软雅黑"/>
      <charset val="134"/>
    </font>
    <font>
      <sz val="9"/>
      <color rgb="FF08090C"/>
      <name val="宋体"/>
      <charset val="134"/>
    </font>
    <font>
      <b/>
      <sz val="9"/>
      <color rgb="FF000000"/>
      <name val="微软雅黑"/>
      <charset val="134"/>
    </font>
    <font>
      <b/>
      <sz val="22"/>
      <color theme="1"/>
      <name val="微软雅黑"/>
      <charset val="134"/>
    </font>
    <font>
      <b/>
      <sz val="10"/>
      <color theme="1"/>
      <name val="宋体"/>
      <charset val="134"/>
      <scheme val="minor"/>
    </font>
    <font>
      <b/>
      <sz val="18"/>
      <color theme="0"/>
      <name val="宋体"/>
      <charset val="134"/>
    </font>
    <font>
      <b/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8"/>
      <color theme="1"/>
      <name val="宋体"/>
      <charset val="134"/>
      <scheme val="minor"/>
    </font>
    <font>
      <sz val="18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0"/>
      <name val="微软雅黑"/>
      <charset val="134"/>
    </font>
    <font>
      <b/>
      <sz val="8"/>
      <color rgb="FF08090C"/>
      <name val="微软雅黑 Light"/>
      <charset val="134"/>
    </font>
    <font>
      <b/>
      <sz val="10"/>
      <color rgb="FF08090C"/>
      <name val="微软雅黑"/>
      <charset val="134"/>
    </font>
    <font>
      <u/>
      <sz val="9"/>
      <color theme="1"/>
      <name val="微软雅黑"/>
      <charset val="0"/>
    </font>
    <font>
      <sz val="11"/>
      <color theme="1"/>
      <name val="微软雅黑"/>
      <charset val="134"/>
    </font>
    <font>
      <b/>
      <sz val="16"/>
      <color theme="0"/>
      <name val="微软雅黑"/>
      <charset val="134"/>
    </font>
    <font>
      <sz val="11"/>
      <color indexed="8"/>
      <name val="微软雅黑"/>
      <charset val="134"/>
    </font>
    <font>
      <b/>
      <sz val="11"/>
      <color theme="0"/>
      <name val="微软雅黑"/>
      <charset val="134"/>
    </font>
    <font>
      <b/>
      <sz val="12"/>
      <color theme="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8090C"/>
      <name val="宋体"/>
      <charset val="134"/>
    </font>
    <font>
      <sz val="9"/>
      <color rgb="FF08090C"/>
      <name val="宋体-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B3F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1" tint="0.35"/>
        <bgColor indexed="64"/>
      </patternFill>
    </fill>
    <fill>
      <patternFill patternType="solid">
        <fgColor theme="8" tint="-0.2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F618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29" borderId="16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30" borderId="19" applyNumberFormat="0" applyAlignment="0" applyProtection="0">
      <alignment vertical="center"/>
    </xf>
    <xf numFmtId="0" fontId="49" fillId="7" borderId="20" applyNumberFormat="0" applyAlignment="0" applyProtection="0">
      <alignment vertical="center"/>
    </xf>
    <xf numFmtId="0" fontId="50" fillId="7" borderId="19" applyNumberFormat="0" applyAlignment="0" applyProtection="0">
      <alignment vertical="center"/>
    </xf>
    <xf numFmtId="0" fontId="51" fillId="31" borderId="21" applyNumberFormat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57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7" fillId="48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7" fillId="51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29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5" fontId="5" fillId="0" borderId="0" xfId="0" applyNumberFormat="1" applyFont="1" applyFill="1" applyBorder="1" applyAlignment="1">
      <alignment horizontal="center" vertical="center"/>
    </xf>
    <xf numFmtId="6" fontId="5" fillId="0" borderId="0" xfId="0" applyNumberFormat="1" applyFont="1" applyFill="1" applyBorder="1" applyAlignment="1">
      <alignment horizontal="center" vertical="center" wrapText="1"/>
    </xf>
    <xf numFmtId="6" fontId="5" fillId="0" borderId="0" xfId="0" applyNumberFormat="1" applyFont="1" applyFill="1" applyBorder="1" applyAlignment="1">
      <alignment horizontal="center" vertical="center"/>
    </xf>
    <xf numFmtId="5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8" fillId="4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/>
    </xf>
    <xf numFmtId="0" fontId="7" fillId="6" borderId="0" xfId="0" applyFont="1" applyFill="1" applyBorder="1">
      <alignment vertical="center"/>
    </xf>
    <xf numFmtId="0" fontId="6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/>
    </xf>
    <xf numFmtId="177" fontId="6" fillId="6" borderId="0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/>
    </xf>
    <xf numFmtId="0" fontId="7" fillId="7" borderId="0" xfId="0" applyFont="1" applyFill="1" applyBorder="1">
      <alignment vertical="center"/>
    </xf>
    <xf numFmtId="0" fontId="6" fillId="7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/>
    </xf>
    <xf numFmtId="177" fontId="6" fillId="7" borderId="0" xfId="0" applyNumberFormat="1" applyFont="1" applyFill="1" applyBorder="1" applyAlignment="1">
      <alignment horizontal="center" vertical="center" wrapText="1"/>
    </xf>
    <xf numFmtId="0" fontId="6" fillId="7" borderId="0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7" fillId="6" borderId="1" xfId="0" applyFont="1" applyFill="1" applyBorder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177" fontId="6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76" fontId="0" fillId="4" borderId="0" xfId="0" applyNumberFormat="1" applyFill="1" applyAlignment="1">
      <alignment vertical="center"/>
    </xf>
    <xf numFmtId="0" fontId="0" fillId="4" borderId="0" xfId="0" applyNumberFormat="1" applyFill="1" applyAlignment="1">
      <alignment vertical="center"/>
    </xf>
    <xf numFmtId="0" fontId="11" fillId="4" borderId="0" xfId="0" applyFont="1" applyFill="1" applyAlignment="1">
      <alignment vertical="center"/>
    </xf>
    <xf numFmtId="0" fontId="10" fillId="8" borderId="0" xfId="0" applyFont="1" applyFill="1" applyBorder="1" applyAlignment="1">
      <alignment horizontal="center" vertical="center"/>
    </xf>
    <xf numFmtId="176" fontId="10" fillId="8" borderId="0" xfId="0" applyNumberFormat="1" applyFont="1" applyFill="1" applyBorder="1" applyAlignment="1">
      <alignment horizontal="center" vertical="center"/>
    </xf>
    <xf numFmtId="0" fontId="10" fillId="8" borderId="0" xfId="0" applyNumberFormat="1" applyFont="1" applyFill="1" applyBorder="1" applyAlignment="1">
      <alignment horizontal="center" vertical="center"/>
    </xf>
    <xf numFmtId="0" fontId="5" fillId="6" borderId="0" xfId="0" applyNumberFormat="1" applyFont="1" applyFill="1" applyBorder="1" applyAlignment="1">
      <alignment horizontal="center" vertical="center"/>
    </xf>
    <xf numFmtId="177" fontId="5" fillId="6" borderId="0" xfId="0" applyNumberFormat="1" applyFont="1" applyFill="1" applyBorder="1" applyAlignment="1">
      <alignment horizontal="center" vertical="center"/>
    </xf>
    <xf numFmtId="0" fontId="5" fillId="7" borderId="0" xfId="0" applyNumberFormat="1" applyFont="1" applyFill="1" applyBorder="1" applyAlignment="1">
      <alignment horizontal="center" vertical="center"/>
    </xf>
    <xf numFmtId="177" fontId="5" fillId="7" borderId="0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77" fontId="5" fillId="7" borderId="1" xfId="0" applyNumberFormat="1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 wrapText="1"/>
    </xf>
    <xf numFmtId="6" fontId="5" fillId="6" borderId="0" xfId="0" applyNumberFormat="1" applyFont="1" applyFill="1" applyBorder="1" applyAlignment="1">
      <alignment horizontal="center" vertical="center"/>
    </xf>
    <xf numFmtId="0" fontId="5" fillId="6" borderId="0" xfId="6" applyFont="1" applyFill="1" applyBorder="1" applyAlignment="1">
      <alignment horizontal="center" vertical="center" wrapText="1"/>
    </xf>
    <xf numFmtId="6" fontId="5" fillId="7" borderId="0" xfId="0" applyNumberFormat="1" applyFont="1" applyFill="1" applyBorder="1" applyAlignment="1">
      <alignment horizontal="center" vertical="center"/>
    </xf>
    <xf numFmtId="0" fontId="5" fillId="7" borderId="0" xfId="6" applyFont="1" applyFill="1" applyBorder="1" applyAlignment="1">
      <alignment horizontal="center" vertical="center" wrapText="1"/>
    </xf>
    <xf numFmtId="178" fontId="5" fillId="7" borderId="0" xfId="0" applyNumberFormat="1" applyFont="1" applyFill="1" applyBorder="1" applyAlignment="1">
      <alignment horizontal="center" vertical="center"/>
    </xf>
    <xf numFmtId="6" fontId="5" fillId="7" borderId="1" xfId="0" applyNumberFormat="1" applyFont="1" applyFill="1" applyBorder="1" applyAlignment="1">
      <alignment horizontal="center" vertical="center"/>
    </xf>
    <xf numFmtId="0" fontId="5" fillId="7" borderId="1" xfId="6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0" fillId="9" borderId="0" xfId="0" applyNumberFormat="1" applyFont="1" applyFill="1" applyBorder="1" applyAlignment="1" applyProtection="1">
      <alignment horizontal="center" vertical="center" wrapText="1"/>
    </xf>
    <xf numFmtId="176" fontId="10" fillId="9" borderId="0" xfId="0" applyNumberFormat="1" applyFont="1" applyFill="1" applyBorder="1" applyAlignment="1" applyProtection="1">
      <alignment horizontal="center" vertical="center" wrapText="1"/>
    </xf>
    <xf numFmtId="0" fontId="12" fillId="7" borderId="0" xfId="0" applyFont="1" applyFill="1" applyBorder="1" applyAlignment="1">
      <alignment horizontal="center" vertical="center"/>
    </xf>
    <xf numFmtId="0" fontId="5" fillId="7" borderId="0" xfId="0" applyNumberFormat="1" applyFont="1" applyFill="1" applyBorder="1" applyAlignment="1" applyProtection="1">
      <alignment horizontal="center" vertical="center" wrapText="1"/>
    </xf>
    <xf numFmtId="179" fontId="5" fillId="7" borderId="0" xfId="0" applyNumberFormat="1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/>
    </xf>
    <xf numFmtId="0" fontId="5" fillId="6" borderId="0" xfId="0" applyNumberFormat="1" applyFont="1" applyFill="1" applyBorder="1" applyAlignment="1" applyProtection="1">
      <alignment horizontal="center" vertical="center" wrapText="1"/>
    </xf>
    <xf numFmtId="179" fontId="5" fillId="6" borderId="0" xfId="0" applyNumberFormat="1" applyFont="1" applyFill="1" applyBorder="1" applyAlignment="1">
      <alignment horizontal="center" vertical="center" wrapText="1"/>
    </xf>
    <xf numFmtId="178" fontId="5" fillId="6" borderId="0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5" fillId="6" borderId="1" xfId="0" applyNumberFormat="1" applyFont="1" applyFill="1" applyBorder="1" applyAlignment="1" applyProtection="1">
      <alignment horizontal="center" vertical="center" wrapText="1"/>
    </xf>
    <xf numFmtId="179" fontId="5" fillId="6" borderId="1" xfId="0" applyNumberFormat="1" applyFont="1" applyFill="1" applyBorder="1" applyAlignment="1">
      <alignment horizontal="center" vertical="center" wrapText="1"/>
    </xf>
    <xf numFmtId="177" fontId="5" fillId="6" borderId="1" xfId="0" applyNumberFormat="1" applyFont="1" applyFill="1" applyBorder="1" applyAlignment="1">
      <alignment horizontal="center" vertical="center"/>
    </xf>
    <xf numFmtId="178" fontId="5" fillId="6" borderId="1" xfId="0" applyNumberFormat="1" applyFont="1" applyFill="1" applyBorder="1" applyAlignment="1">
      <alignment horizontal="center" vertical="center"/>
    </xf>
    <xf numFmtId="0" fontId="10" fillId="10" borderId="0" xfId="0" applyNumberFormat="1" applyFont="1" applyFill="1" applyBorder="1" applyAlignment="1" applyProtection="1">
      <alignment horizontal="center" vertical="center" wrapText="1"/>
    </xf>
    <xf numFmtId="0" fontId="13" fillId="6" borderId="0" xfId="0" applyFont="1" applyFill="1" applyBorder="1" applyAlignment="1">
      <alignment horizontal="center" vertical="center"/>
    </xf>
    <xf numFmtId="0" fontId="13" fillId="6" borderId="0" xfId="0" applyFont="1" applyFill="1" applyBorder="1">
      <alignment vertical="center"/>
    </xf>
    <xf numFmtId="0" fontId="14" fillId="6" borderId="0" xfId="6" applyNumberFormat="1" applyFont="1" applyFill="1" applyBorder="1" applyAlignment="1" applyProtection="1">
      <alignment horizontal="center" vertical="center" wrapText="1"/>
    </xf>
    <xf numFmtId="0" fontId="13" fillId="7" borderId="0" xfId="0" applyFont="1" applyFill="1" applyBorder="1" applyAlignment="1">
      <alignment horizontal="center" vertical="center"/>
    </xf>
    <xf numFmtId="0" fontId="13" fillId="7" borderId="0" xfId="0" applyFont="1" applyFill="1" applyBorder="1">
      <alignment vertical="center"/>
    </xf>
    <xf numFmtId="0" fontId="14" fillId="7" borderId="0" xfId="6" applyNumberFormat="1" applyFont="1" applyFill="1" applyBorder="1" applyAlignment="1" applyProtection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 applyProtection="1">
      <alignment horizontal="center" vertical="center" wrapText="1"/>
    </xf>
    <xf numFmtId="0" fontId="13" fillId="7" borderId="1" xfId="0" applyFont="1" applyFill="1" applyBorder="1">
      <alignment vertical="center"/>
    </xf>
    <xf numFmtId="179" fontId="5" fillId="7" borderId="1" xfId="0" applyNumberFormat="1" applyFont="1" applyFill="1" applyBorder="1" applyAlignment="1">
      <alignment horizontal="center" vertical="center" wrapText="1"/>
    </xf>
    <xf numFmtId="178" fontId="5" fillId="7" borderId="1" xfId="0" applyNumberFormat="1" applyFont="1" applyFill="1" applyBorder="1" applyAlignment="1">
      <alignment horizontal="center" vertical="center"/>
    </xf>
    <xf numFmtId="0" fontId="14" fillId="7" borderId="1" xfId="6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0" fontId="16" fillId="6" borderId="0" xfId="0" applyFont="1" applyFill="1" applyBorder="1" applyAlignment="1" applyProtection="1">
      <alignment horizontal="center" vertical="center"/>
      <protection locked="0"/>
    </xf>
    <xf numFmtId="0" fontId="16" fillId="6" borderId="0" xfId="0" applyNumberFormat="1" applyFont="1" applyFill="1" applyBorder="1" applyAlignment="1" applyProtection="1">
      <alignment horizontal="center" vertical="center"/>
      <protection locked="0"/>
    </xf>
    <xf numFmtId="0" fontId="4" fillId="11" borderId="0" xfId="0" applyFont="1" applyFill="1" applyBorder="1" applyAlignment="1">
      <alignment horizontal="center" vertical="center"/>
    </xf>
    <xf numFmtId="0" fontId="4" fillId="11" borderId="0" xfId="0" applyFont="1" applyFill="1" applyBorder="1" applyAlignment="1">
      <alignment horizontal="center" vertical="center" wrapText="1"/>
    </xf>
    <xf numFmtId="0" fontId="4" fillId="11" borderId="0" xfId="0" applyNumberFormat="1" applyFont="1" applyFill="1" applyBorder="1" applyAlignment="1">
      <alignment horizontal="center" vertical="center"/>
    </xf>
    <xf numFmtId="0" fontId="17" fillId="12" borderId="0" xfId="0" applyFont="1" applyFill="1" applyBorder="1" applyAlignment="1">
      <alignment vertical="center"/>
    </xf>
    <xf numFmtId="0" fontId="17" fillId="12" borderId="0" xfId="0" applyNumberFormat="1" applyFont="1" applyFill="1" applyBorder="1" applyAlignment="1">
      <alignment vertical="center"/>
    </xf>
    <xf numFmtId="0" fontId="18" fillId="7" borderId="0" xfId="0" applyNumberFormat="1" applyFont="1" applyFill="1" applyBorder="1" applyAlignment="1">
      <alignment horizontal="center" vertical="center" wrapText="1"/>
    </xf>
    <xf numFmtId="0" fontId="5" fillId="7" borderId="0" xfId="0" applyNumberFormat="1" applyFont="1" applyFill="1" applyBorder="1" applyAlignment="1">
      <alignment horizontal="center" vertical="center" wrapText="1"/>
    </xf>
    <xf numFmtId="0" fontId="5" fillId="4" borderId="0" xfId="0" applyNumberFormat="1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top" wrapText="1"/>
    </xf>
    <xf numFmtId="0" fontId="5" fillId="4" borderId="0" xfId="0" applyNumberFormat="1" applyFont="1" applyFill="1" applyBorder="1" applyAlignment="1">
      <alignment horizontal="center" vertical="center" wrapText="1"/>
    </xf>
    <xf numFmtId="0" fontId="17" fillId="13" borderId="0" xfId="0" applyFont="1" applyFill="1" applyBorder="1" applyAlignment="1">
      <alignment vertical="center"/>
    </xf>
    <xf numFmtId="0" fontId="17" fillId="13" borderId="0" xfId="0" applyNumberFormat="1" applyFont="1" applyFill="1" applyBorder="1" applyAlignment="1">
      <alignment vertical="center"/>
    </xf>
    <xf numFmtId="0" fontId="19" fillId="7" borderId="0" xfId="0" applyFont="1" applyFill="1" applyBorder="1" applyAlignment="1">
      <alignment horizontal="center" vertical="top" wrapText="1"/>
    </xf>
    <xf numFmtId="0" fontId="5" fillId="6" borderId="0" xfId="0" applyNumberFormat="1" applyFont="1" applyFill="1" applyBorder="1" applyAlignment="1">
      <alignment horizontal="center" vertical="center" wrapText="1"/>
    </xf>
    <xf numFmtId="0" fontId="20" fillId="14" borderId="0" xfId="0" applyFont="1" applyFill="1" applyBorder="1" applyAlignment="1">
      <alignment vertical="center"/>
    </xf>
    <xf numFmtId="0" fontId="17" fillId="14" borderId="0" xfId="0" applyFont="1" applyFill="1" applyBorder="1" applyAlignment="1">
      <alignment vertical="center"/>
    </xf>
    <xf numFmtId="0" fontId="20" fillId="14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0" fontId="20" fillId="15" borderId="0" xfId="0" applyFont="1" applyFill="1" applyBorder="1" applyAlignment="1">
      <alignment vertical="center"/>
    </xf>
    <xf numFmtId="0" fontId="17" fillId="15" borderId="0" xfId="0" applyFont="1" applyFill="1" applyBorder="1" applyAlignment="1">
      <alignment vertical="center"/>
    </xf>
    <xf numFmtId="0" fontId="20" fillId="15" borderId="0" xfId="0" applyNumberFormat="1" applyFont="1" applyFill="1" applyBorder="1" applyAlignment="1">
      <alignment vertical="center"/>
    </xf>
    <xf numFmtId="0" fontId="20" fillId="16" borderId="0" xfId="0" applyFont="1" applyFill="1" applyBorder="1" applyAlignment="1">
      <alignment vertical="center"/>
    </xf>
    <xf numFmtId="0" fontId="17" fillId="16" borderId="0" xfId="0" applyFont="1" applyFill="1" applyBorder="1" applyAlignment="1">
      <alignment vertical="center"/>
    </xf>
    <xf numFmtId="0" fontId="20" fillId="16" borderId="0" xfId="0" applyNumberFormat="1" applyFont="1" applyFill="1" applyBorder="1" applyAlignment="1">
      <alignment vertical="center"/>
    </xf>
    <xf numFmtId="0" fontId="20" fillId="17" borderId="0" xfId="0" applyFont="1" applyFill="1" applyBorder="1" applyAlignment="1">
      <alignment vertical="center"/>
    </xf>
    <xf numFmtId="0" fontId="17" fillId="17" borderId="0" xfId="0" applyFont="1" applyFill="1" applyBorder="1" applyAlignment="1">
      <alignment vertical="center"/>
    </xf>
    <xf numFmtId="0" fontId="20" fillId="17" borderId="0" xfId="0" applyNumberFormat="1" applyFont="1" applyFill="1" applyBorder="1" applyAlignment="1">
      <alignment vertical="center"/>
    </xf>
    <xf numFmtId="0" fontId="21" fillId="7" borderId="0" xfId="0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top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 applyProtection="1">
      <alignment horizontal="center" vertical="center"/>
      <protection locked="0"/>
    </xf>
    <xf numFmtId="180" fontId="5" fillId="7" borderId="0" xfId="0" applyNumberFormat="1" applyFont="1" applyFill="1" applyBorder="1" applyAlignment="1">
      <alignment horizontal="center" vertical="center"/>
    </xf>
    <xf numFmtId="5" fontId="6" fillId="7" borderId="0" xfId="0" applyNumberFormat="1" applyFont="1" applyFill="1" applyBorder="1" applyAlignment="1">
      <alignment horizontal="center" vertical="center"/>
    </xf>
    <xf numFmtId="180" fontId="5" fillId="4" borderId="0" xfId="0" applyNumberFormat="1" applyFont="1" applyFill="1" applyBorder="1" applyAlignment="1">
      <alignment horizontal="center" vertical="center"/>
    </xf>
    <xf numFmtId="5" fontId="6" fillId="4" borderId="0" xfId="0" applyNumberFormat="1" applyFont="1" applyFill="1" applyBorder="1" applyAlignment="1">
      <alignment horizontal="center" vertical="center"/>
    </xf>
    <xf numFmtId="5" fontId="6" fillId="7" borderId="0" xfId="0" applyNumberFormat="1" applyFont="1" applyFill="1" applyBorder="1" applyAlignment="1">
      <alignment horizontal="center" vertical="center" wrapText="1"/>
    </xf>
    <xf numFmtId="180" fontId="5" fillId="6" borderId="0" xfId="0" applyNumberFormat="1" applyFont="1" applyFill="1" applyBorder="1" applyAlignment="1">
      <alignment horizontal="center" vertical="center"/>
    </xf>
    <xf numFmtId="5" fontId="6" fillId="6" borderId="0" xfId="0" applyNumberFormat="1" applyFont="1" applyFill="1" applyBorder="1" applyAlignment="1">
      <alignment horizontal="center" vertical="center"/>
    </xf>
    <xf numFmtId="180" fontId="5" fillId="6" borderId="0" xfId="0" applyNumberFormat="1" applyFont="1" applyFill="1" applyBorder="1" applyAlignment="1">
      <alignment horizontal="center" vertical="center" wrapText="1"/>
    </xf>
    <xf numFmtId="5" fontId="6" fillId="6" borderId="0" xfId="0" applyNumberFormat="1" applyFont="1" applyFill="1" applyBorder="1" applyAlignment="1">
      <alignment horizontal="center" vertical="center" wrapText="1"/>
    </xf>
    <xf numFmtId="180" fontId="5" fillId="6" borderId="1" xfId="0" applyNumberFormat="1" applyFont="1" applyFill="1" applyBorder="1" applyAlignment="1">
      <alignment horizontal="center" vertical="center"/>
    </xf>
    <xf numFmtId="5" fontId="6" fillId="6" borderId="1" xfId="0" applyNumberFormat="1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0" fontId="0" fillId="4" borderId="0" xfId="0" applyFont="1" applyFill="1" applyAlignment="1">
      <alignment vertical="center"/>
    </xf>
    <xf numFmtId="0" fontId="0" fillId="4" borderId="0" xfId="0" applyFill="1" applyAlignment="1">
      <alignment vertical="center" wrapText="1"/>
    </xf>
    <xf numFmtId="0" fontId="23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6" borderId="0" xfId="6" applyFont="1" applyFill="1" applyBorder="1" applyAlignment="1">
      <alignment horizontal="center" vertical="center"/>
    </xf>
    <xf numFmtId="0" fontId="5" fillId="7" borderId="0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>
      <alignment vertical="center"/>
    </xf>
    <xf numFmtId="0" fontId="5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>
      <alignment vertical="center"/>
    </xf>
    <xf numFmtId="0" fontId="0" fillId="0" borderId="0" xfId="0" applyFont="1" applyFill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5" fontId="5" fillId="7" borderId="0" xfId="0" applyNumberFormat="1" applyFont="1" applyFill="1" applyBorder="1" applyAlignment="1">
      <alignment horizontal="center" vertical="center"/>
    </xf>
    <xf numFmtId="5" fontId="5" fillId="7" borderId="0" xfId="0" applyNumberFormat="1" applyFont="1" applyFill="1" applyBorder="1" applyAlignment="1">
      <alignment horizontal="center" vertical="center" wrapText="1"/>
    </xf>
    <xf numFmtId="5" fontId="5" fillId="6" borderId="0" xfId="0" applyNumberFormat="1" applyFont="1" applyFill="1" applyBorder="1" applyAlignment="1">
      <alignment horizontal="center" vertical="center"/>
    </xf>
    <xf numFmtId="176" fontId="5" fillId="6" borderId="0" xfId="0" applyNumberFormat="1" applyFont="1" applyFill="1" applyBorder="1" applyAlignment="1">
      <alignment horizontal="center" vertical="center" wrapText="1"/>
    </xf>
    <xf numFmtId="5" fontId="5" fillId="7" borderId="1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30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18" borderId="0" xfId="0" applyFont="1" applyFill="1" applyBorder="1" applyAlignment="1">
      <alignment horizontal="center" vertical="center" wrapText="1"/>
    </xf>
    <xf numFmtId="0" fontId="4" fillId="18" borderId="0" xfId="0" applyFont="1" applyFill="1" applyBorder="1" applyAlignment="1">
      <alignment horizontal="center" vertical="center"/>
    </xf>
    <xf numFmtId="0" fontId="31" fillId="18" borderId="0" xfId="0" applyFont="1" applyFill="1" applyBorder="1" applyAlignment="1">
      <alignment horizontal="center" vertical="center" wrapText="1"/>
    </xf>
    <xf numFmtId="0" fontId="4" fillId="19" borderId="0" xfId="0" applyFont="1" applyFill="1" applyBorder="1" applyAlignment="1">
      <alignment horizontal="center" vertical="center" wrapText="1"/>
    </xf>
    <xf numFmtId="0" fontId="4" fillId="19" borderId="0" xfId="0" applyFont="1" applyFill="1" applyBorder="1" applyAlignment="1">
      <alignment horizontal="center" vertical="center"/>
    </xf>
    <xf numFmtId="0" fontId="31" fillId="19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vertical="center" wrapText="1"/>
    </xf>
    <xf numFmtId="0" fontId="5" fillId="7" borderId="0" xfId="0" applyFont="1" applyFill="1" applyBorder="1" applyAlignment="1">
      <alignment horizontal="left" vertical="center" wrapText="1"/>
    </xf>
    <xf numFmtId="0" fontId="5" fillId="7" borderId="0" xfId="49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vertical="center" wrapText="1"/>
    </xf>
    <xf numFmtId="0" fontId="5" fillId="6" borderId="0" xfId="0" applyFont="1" applyFill="1" applyBorder="1" applyAlignment="1">
      <alignment horizontal="left" vertical="center" wrapText="1"/>
    </xf>
    <xf numFmtId="0" fontId="17" fillId="20" borderId="0" xfId="0" applyFont="1" applyFill="1" applyBorder="1" applyAlignment="1">
      <alignment vertical="center"/>
    </xf>
    <xf numFmtId="0" fontId="17" fillId="21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center" vertical="top" wrapText="1"/>
    </xf>
    <xf numFmtId="0" fontId="18" fillId="7" borderId="0" xfId="0" applyFont="1" applyFill="1" applyBorder="1" applyAlignment="1">
      <alignment horizontal="center" vertical="center" wrapText="1"/>
    </xf>
    <xf numFmtId="0" fontId="5" fillId="7" borderId="0" xfId="0" applyNumberFormat="1" applyFont="1" applyFill="1" applyBorder="1" applyAlignment="1">
      <alignment horizontal="left" vertical="center" wrapText="1"/>
    </xf>
    <xf numFmtId="0" fontId="5" fillId="4" borderId="0" xfId="0" applyNumberFormat="1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 wrapText="1"/>
      <protection locked="0"/>
    </xf>
    <xf numFmtId="0" fontId="20" fillId="22" borderId="0" xfId="0" applyFont="1" applyFill="1" applyBorder="1" applyAlignment="1">
      <alignment vertical="center"/>
    </xf>
    <xf numFmtId="0" fontId="32" fillId="6" borderId="0" xfId="0" applyFont="1" applyFill="1" applyBorder="1" applyAlignment="1">
      <alignment horizontal="center" vertical="top" wrapText="1"/>
    </xf>
    <xf numFmtId="0" fontId="33" fillId="7" borderId="0" xfId="0" applyFont="1" applyFill="1" applyBorder="1" applyAlignment="1">
      <alignment horizontal="center" vertical="center" wrapText="1"/>
    </xf>
    <xf numFmtId="0" fontId="5" fillId="6" borderId="0" xfId="0" applyNumberFormat="1" applyFont="1" applyFill="1" applyBorder="1" applyAlignment="1">
      <alignment horizontal="left" vertical="center" wrapText="1"/>
    </xf>
    <xf numFmtId="0" fontId="32" fillId="7" borderId="0" xfId="0" applyFont="1" applyFill="1" applyBorder="1" applyAlignment="1">
      <alignment horizontal="center" vertical="top" wrapText="1"/>
    </xf>
    <xf numFmtId="0" fontId="20" fillId="9" borderId="0" xfId="0" applyFont="1" applyFill="1" applyBorder="1" applyAlignment="1">
      <alignment vertical="center"/>
    </xf>
    <xf numFmtId="0" fontId="33" fillId="6" borderId="0" xfId="0" applyFont="1" applyFill="1" applyBorder="1" applyAlignment="1">
      <alignment horizontal="center" vertical="center" wrapText="1"/>
    </xf>
    <xf numFmtId="0" fontId="20" fillId="17" borderId="0" xfId="0" applyFont="1" applyFill="1" applyBorder="1" applyAlignment="1">
      <alignment vertical="center" wrapText="1"/>
    </xf>
    <xf numFmtId="0" fontId="32" fillId="4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/>
    </xf>
    <xf numFmtId="0" fontId="4" fillId="18" borderId="0" xfId="0" applyNumberFormat="1" applyFont="1" applyFill="1" applyBorder="1" applyAlignment="1">
      <alignment horizontal="center" vertical="center" wrapText="1"/>
    </xf>
    <xf numFmtId="0" fontId="17" fillId="19" borderId="0" xfId="0" applyFont="1" applyFill="1" applyBorder="1" applyAlignment="1">
      <alignment horizontal="center" vertical="center"/>
    </xf>
    <xf numFmtId="0" fontId="4" fillId="19" borderId="0" xfId="0" applyNumberFormat="1" applyFont="1" applyFill="1" applyBorder="1" applyAlignment="1">
      <alignment horizontal="center" vertical="center" wrapText="1"/>
    </xf>
    <xf numFmtId="0" fontId="34" fillId="7" borderId="0" xfId="6" applyNumberFormat="1" applyFont="1" applyFill="1" applyBorder="1" applyAlignment="1">
      <alignment horizontal="center" vertical="center" wrapText="1"/>
    </xf>
    <xf numFmtId="176" fontId="5" fillId="7" borderId="0" xfId="0" applyNumberFormat="1" applyFont="1" applyFill="1" applyBorder="1" applyAlignment="1">
      <alignment horizontal="center" vertical="center" wrapText="1"/>
    </xf>
    <xf numFmtId="0" fontId="34" fillId="0" borderId="0" xfId="6" applyNumberFormat="1" applyFont="1" applyFill="1" applyBorder="1" applyAlignment="1">
      <alignment horizontal="center" vertical="center" wrapText="1"/>
    </xf>
    <xf numFmtId="5" fontId="5" fillId="6" borderId="0" xfId="0" applyNumberFormat="1" applyFont="1" applyFill="1" applyBorder="1" applyAlignment="1">
      <alignment horizontal="center" vertical="center" wrapText="1"/>
    </xf>
    <xf numFmtId="0" fontId="17" fillId="20" borderId="0" xfId="0" applyFont="1" applyFill="1" applyBorder="1" applyAlignment="1">
      <alignment horizontal="center" vertical="center"/>
    </xf>
    <xf numFmtId="0" fontId="17" fillId="21" borderId="0" xfId="0" applyFont="1" applyFill="1" applyBorder="1" applyAlignment="1">
      <alignment horizontal="center" vertical="center"/>
    </xf>
    <xf numFmtId="5" fontId="5" fillId="4" borderId="0" xfId="0" applyNumberFormat="1" applyFont="1" applyFill="1" applyBorder="1" applyAlignment="1">
      <alignment horizontal="center" vertical="center" wrapText="1"/>
    </xf>
    <xf numFmtId="5" fontId="5" fillId="23" borderId="0" xfId="0" applyNumberFormat="1" applyFont="1" applyFill="1" applyBorder="1" applyAlignment="1">
      <alignment horizontal="center" vertical="center" wrapText="1"/>
    </xf>
    <xf numFmtId="6" fontId="5" fillId="7" borderId="0" xfId="0" applyNumberFormat="1" applyFont="1" applyFill="1" applyBorder="1" applyAlignment="1">
      <alignment horizontal="center" vertical="center" wrapText="1"/>
    </xf>
    <xf numFmtId="0" fontId="34" fillId="4" borderId="0" xfId="6" applyNumberFormat="1" applyFont="1" applyFill="1" applyBorder="1" applyAlignment="1">
      <alignment horizontal="center" vertical="center" wrapText="1"/>
    </xf>
    <xf numFmtId="176" fontId="5" fillId="4" borderId="0" xfId="0" applyNumberFormat="1" applyFont="1" applyFill="1" applyBorder="1" applyAlignment="1">
      <alignment horizontal="center" vertical="center" wrapText="1"/>
    </xf>
    <xf numFmtId="0" fontId="20" fillId="16" borderId="0" xfId="0" applyFont="1" applyFill="1" applyBorder="1" applyAlignment="1">
      <alignment horizontal="center" vertical="center"/>
    </xf>
    <xf numFmtId="0" fontId="20" fillId="22" borderId="0" xfId="0" applyFont="1" applyFill="1" applyBorder="1" applyAlignment="1">
      <alignment horizontal="center" vertical="center"/>
    </xf>
    <xf numFmtId="0" fontId="20" fillId="9" borderId="0" xfId="0" applyFont="1" applyFill="1" applyBorder="1" applyAlignment="1">
      <alignment horizontal="center" vertical="center"/>
    </xf>
    <xf numFmtId="176" fontId="5" fillId="23" borderId="0" xfId="0" applyNumberFormat="1" applyFont="1" applyFill="1" applyBorder="1" applyAlignment="1">
      <alignment horizontal="center" vertical="center" wrapText="1"/>
    </xf>
    <xf numFmtId="0" fontId="20" fillId="17" borderId="0" xfId="0" applyFont="1" applyFill="1" applyBorder="1" applyAlignment="1">
      <alignment horizontal="center" vertical="center" wrapText="1"/>
    </xf>
    <xf numFmtId="0" fontId="20" fillId="14" borderId="0" xfId="0" applyFont="1" applyFill="1" applyBorder="1" applyAlignment="1">
      <alignment horizontal="center" vertical="center"/>
    </xf>
    <xf numFmtId="5" fontId="5" fillId="23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 wrapText="1"/>
    </xf>
    <xf numFmtId="0" fontId="18" fillId="23" borderId="0" xfId="0" applyFont="1" applyFill="1" applyBorder="1" applyAlignment="1">
      <alignment horizontal="center" vertical="center" wrapText="1"/>
    </xf>
    <xf numFmtId="0" fontId="20" fillId="5" borderId="0" xfId="0" applyFont="1" applyFill="1" applyBorder="1" applyAlignment="1">
      <alignment vertical="center"/>
    </xf>
    <xf numFmtId="0" fontId="5" fillId="6" borderId="0" xfId="49" applyFont="1" applyFill="1" applyBorder="1" applyAlignment="1">
      <alignment horizontal="center" vertical="center" wrapText="1"/>
    </xf>
    <xf numFmtId="0" fontId="20" fillId="24" borderId="0" xfId="0" applyFont="1" applyFill="1" applyBorder="1" applyAlignment="1">
      <alignment vertical="center"/>
    </xf>
    <xf numFmtId="0" fontId="20" fillId="25" borderId="0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20" fillId="15" borderId="0" xfId="0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center" vertical="center"/>
    </xf>
    <xf numFmtId="0" fontId="20" fillId="24" borderId="0" xfId="0" applyFont="1" applyFill="1" applyBorder="1" applyAlignment="1">
      <alignment horizontal="center" vertical="center"/>
    </xf>
    <xf numFmtId="0" fontId="20" fillId="25" borderId="0" xfId="0" applyFont="1" applyFill="1" applyBorder="1" applyAlignment="1">
      <alignment horizontal="center" vertical="center"/>
    </xf>
    <xf numFmtId="0" fontId="34" fillId="7" borderId="1" xfId="6" applyNumberFormat="1" applyFont="1" applyFill="1" applyBorder="1" applyAlignment="1">
      <alignment horizontal="center" vertical="center" wrapText="1"/>
    </xf>
    <xf numFmtId="0" fontId="5" fillId="7" borderId="1" xfId="0" applyNumberFormat="1" applyFont="1" applyFill="1" applyBorder="1" applyAlignment="1">
      <alignment horizontal="center" vertical="center" wrapText="1"/>
    </xf>
    <xf numFmtId="176" fontId="5" fillId="7" borderId="1" xfId="0" applyNumberFormat="1" applyFont="1" applyFill="1" applyBorder="1" applyAlignment="1">
      <alignment horizontal="center" vertical="center" wrapText="1"/>
    </xf>
    <xf numFmtId="5" fontId="5" fillId="7" borderId="1" xfId="0" applyNumberFormat="1" applyFont="1" applyFill="1" applyBorder="1" applyAlignment="1">
      <alignment horizontal="center" vertical="center" wrapText="1"/>
    </xf>
    <xf numFmtId="0" fontId="27" fillId="25" borderId="0" xfId="0" applyFont="1" applyFill="1" applyBorder="1" applyAlignment="1">
      <alignment vertical="center"/>
    </xf>
    <xf numFmtId="0" fontId="35" fillId="0" borderId="0" xfId="0" applyFont="1" applyFill="1" applyAlignment="1">
      <alignment vertical="center"/>
    </xf>
    <xf numFmtId="0" fontId="35" fillId="4" borderId="0" xfId="0" applyFont="1" applyFill="1" applyAlignment="1">
      <alignment vertical="center"/>
    </xf>
    <xf numFmtId="0" fontId="36" fillId="26" borderId="2" xfId="0" applyFont="1" applyFill="1" applyBorder="1" applyAlignment="1">
      <alignment horizontal="center" vertical="center" wrapText="1"/>
    </xf>
    <xf numFmtId="0" fontId="36" fillId="26" borderId="3" xfId="0" applyFont="1" applyFill="1" applyBorder="1" applyAlignment="1">
      <alignment horizontal="center" vertical="center" wrapText="1"/>
    </xf>
    <xf numFmtId="0" fontId="37" fillId="4" borderId="2" xfId="0" applyNumberFormat="1" applyFont="1" applyFill="1" applyBorder="1" applyAlignment="1" applyProtection="1">
      <alignment horizontal="center" vertical="center"/>
    </xf>
    <xf numFmtId="0" fontId="37" fillId="4" borderId="3" xfId="0" applyNumberFormat="1" applyFont="1" applyFill="1" applyBorder="1" applyAlignment="1" applyProtection="1">
      <alignment horizontal="center" vertical="center"/>
    </xf>
    <xf numFmtId="0" fontId="37" fillId="4" borderId="4" xfId="0" applyNumberFormat="1" applyFont="1" applyFill="1" applyBorder="1" applyAlignment="1" applyProtection="1">
      <alignment horizontal="center" vertical="center"/>
    </xf>
    <xf numFmtId="0" fontId="37" fillId="4" borderId="0" xfId="0" applyNumberFormat="1" applyFont="1" applyFill="1" applyAlignment="1" applyProtection="1">
      <alignment horizontal="center" vertical="center"/>
    </xf>
    <xf numFmtId="0" fontId="37" fillId="4" borderId="0" xfId="0" applyNumberFormat="1" applyFont="1" applyFill="1" applyBorder="1" applyAlignment="1" applyProtection="1">
      <alignment horizontal="center" vertical="center"/>
    </xf>
    <xf numFmtId="0" fontId="37" fillId="4" borderId="5" xfId="0" applyNumberFormat="1" applyFont="1" applyFill="1" applyBorder="1" applyAlignment="1" applyProtection="1">
      <alignment horizontal="center" vertical="center"/>
    </xf>
    <xf numFmtId="0" fontId="37" fillId="4" borderId="6" xfId="0" applyNumberFormat="1" applyFont="1" applyFill="1" applyBorder="1" applyAlignment="1" applyProtection="1">
      <alignment horizontal="center" vertical="center"/>
    </xf>
    <xf numFmtId="0" fontId="38" fillId="27" borderId="7" xfId="0" applyNumberFormat="1" applyFont="1" applyFill="1" applyBorder="1" applyAlignment="1" applyProtection="1">
      <alignment horizontal="center" vertical="center" wrapText="1"/>
    </xf>
    <xf numFmtId="0" fontId="38" fillId="27" borderId="8" xfId="0" applyNumberFormat="1" applyFont="1" applyFill="1" applyBorder="1" applyAlignment="1" applyProtection="1">
      <alignment horizontal="center" vertical="center"/>
    </xf>
    <xf numFmtId="0" fontId="39" fillId="28" borderId="9" xfId="0" applyNumberFormat="1" applyFont="1" applyFill="1" applyBorder="1" applyAlignment="1" applyProtection="1">
      <alignment horizontal="center" vertical="center"/>
    </xf>
    <xf numFmtId="0" fontId="39" fillId="28" borderId="10" xfId="0" applyNumberFormat="1" applyFont="1" applyFill="1" applyBorder="1" applyAlignment="1" applyProtection="1">
      <alignment horizontal="center" vertical="center"/>
    </xf>
    <xf numFmtId="0" fontId="37" fillId="4" borderId="2" xfId="0" applyNumberFormat="1" applyFont="1" applyFill="1" applyBorder="1" applyAlignment="1" applyProtection="1">
      <alignment horizontal="left" vertical="center" wrapText="1"/>
    </xf>
    <xf numFmtId="0" fontId="37" fillId="4" borderId="3" xfId="0" applyNumberFormat="1" applyFont="1" applyFill="1" applyBorder="1" applyAlignment="1" applyProtection="1">
      <alignment horizontal="left" vertical="center"/>
    </xf>
    <xf numFmtId="0" fontId="37" fillId="4" borderId="4" xfId="0" applyNumberFormat="1" applyFont="1" applyFill="1" applyBorder="1" applyAlignment="1" applyProtection="1">
      <alignment horizontal="left" vertical="center"/>
    </xf>
    <xf numFmtId="0" fontId="37" fillId="4" borderId="0" xfId="0" applyNumberFormat="1" applyFont="1" applyFill="1" applyAlignment="1" applyProtection="1">
      <alignment horizontal="left" vertical="center"/>
    </xf>
    <xf numFmtId="0" fontId="37" fillId="4" borderId="5" xfId="0" applyNumberFormat="1" applyFont="1" applyFill="1" applyBorder="1" applyAlignment="1" applyProtection="1">
      <alignment horizontal="left" vertical="center"/>
    </xf>
    <xf numFmtId="0" fontId="37" fillId="4" borderId="6" xfId="0" applyNumberFormat="1" applyFont="1" applyFill="1" applyBorder="1" applyAlignment="1" applyProtection="1">
      <alignment horizontal="left" vertical="center"/>
    </xf>
    <xf numFmtId="0" fontId="39" fillId="28" borderId="2" xfId="0" applyNumberFormat="1" applyFont="1" applyFill="1" applyBorder="1" applyAlignment="1" applyProtection="1">
      <alignment horizontal="center" vertical="center"/>
    </xf>
    <xf numFmtId="0" fontId="39" fillId="28" borderId="3" xfId="0" applyNumberFormat="1" applyFont="1" applyFill="1" applyBorder="1" applyAlignment="1" applyProtection="1">
      <alignment horizontal="center" vertical="center"/>
    </xf>
    <xf numFmtId="0" fontId="35" fillId="4" borderId="2" xfId="0" applyFont="1" applyFill="1" applyBorder="1" applyAlignment="1">
      <alignment horizontal="left" vertical="center" wrapText="1"/>
    </xf>
    <xf numFmtId="0" fontId="35" fillId="4" borderId="3" xfId="0" applyFont="1" applyFill="1" applyBorder="1" applyAlignment="1">
      <alignment horizontal="left" vertical="center" wrapText="1"/>
    </xf>
    <xf numFmtId="0" fontId="35" fillId="4" borderId="4" xfId="0" applyFont="1" applyFill="1" applyBorder="1" applyAlignment="1">
      <alignment horizontal="left" vertical="center" wrapText="1"/>
    </xf>
    <xf numFmtId="0" fontId="35" fillId="4" borderId="0" xfId="0" applyFont="1" applyFill="1" applyBorder="1" applyAlignment="1">
      <alignment horizontal="left" vertical="center" wrapText="1"/>
    </xf>
    <xf numFmtId="0" fontId="35" fillId="4" borderId="5" xfId="0" applyFont="1" applyFill="1" applyBorder="1" applyAlignment="1">
      <alignment horizontal="left" vertical="center" wrapText="1"/>
    </xf>
    <xf numFmtId="0" fontId="35" fillId="4" borderId="6" xfId="0" applyFont="1" applyFill="1" applyBorder="1" applyAlignment="1">
      <alignment horizontal="left" vertical="center" wrapText="1"/>
    </xf>
    <xf numFmtId="0" fontId="37" fillId="4" borderId="11" xfId="0" applyNumberFormat="1" applyFont="1" applyFill="1" applyBorder="1" applyAlignment="1" applyProtection="1">
      <alignment horizontal="center" vertical="center"/>
    </xf>
    <xf numFmtId="0" fontId="37" fillId="4" borderId="12" xfId="0" applyNumberFormat="1" applyFont="1" applyFill="1" applyBorder="1" applyAlignment="1" applyProtection="1">
      <alignment horizontal="center" vertical="center"/>
    </xf>
    <xf numFmtId="0" fontId="37" fillId="4" borderId="13" xfId="0" applyNumberFormat="1" applyFont="1" applyFill="1" applyBorder="1" applyAlignment="1" applyProtection="1">
      <alignment horizontal="center" vertical="center"/>
    </xf>
    <xf numFmtId="0" fontId="35" fillId="4" borderId="0" xfId="0" applyFont="1" applyFill="1" applyBorder="1" applyAlignment="1">
      <alignment vertical="center"/>
    </xf>
    <xf numFmtId="0" fontId="38" fillId="27" borderId="14" xfId="0" applyNumberFormat="1" applyFont="1" applyFill="1" applyBorder="1" applyAlignment="1" applyProtection="1">
      <alignment horizontal="center" vertical="center"/>
    </xf>
    <xf numFmtId="0" fontId="37" fillId="4" borderId="11" xfId="0" applyNumberFormat="1" applyFont="1" applyFill="1" applyBorder="1" applyAlignment="1" applyProtection="1">
      <alignment horizontal="left" vertical="center"/>
    </xf>
    <xf numFmtId="0" fontId="37" fillId="4" borderId="12" xfId="0" applyNumberFormat="1" applyFont="1" applyFill="1" applyBorder="1" applyAlignment="1" applyProtection="1">
      <alignment horizontal="left" vertical="center"/>
    </xf>
    <xf numFmtId="0" fontId="37" fillId="4" borderId="15" xfId="0" applyNumberFormat="1" applyFont="1" applyFill="1" applyBorder="1" applyAlignment="1" applyProtection="1">
      <alignment horizontal="left" vertical="center"/>
    </xf>
    <xf numFmtId="0" fontId="37" fillId="4" borderId="13" xfId="0" applyNumberFormat="1" applyFont="1" applyFill="1" applyBorder="1" applyAlignment="1" applyProtection="1">
      <alignment horizontal="left" vertical="center"/>
    </xf>
    <xf numFmtId="0" fontId="35" fillId="4" borderId="11" xfId="0" applyFont="1" applyFill="1" applyBorder="1" applyAlignment="1">
      <alignment horizontal="left" vertical="center" wrapText="1"/>
    </xf>
    <xf numFmtId="0" fontId="35" fillId="4" borderId="12" xfId="0" applyFont="1" applyFill="1" applyBorder="1" applyAlignment="1">
      <alignment horizontal="left" vertical="center" wrapText="1"/>
    </xf>
    <xf numFmtId="0" fontId="35" fillId="4" borderId="13" xfId="0" applyFont="1" applyFill="1" applyBorder="1" applyAlignment="1">
      <alignment horizontal="left" vertical="center" wrapText="1"/>
    </xf>
    <xf numFmtId="0" fontId="5" fillId="7" borderId="0" xfId="0" applyNumberFormat="1" applyFont="1" applyFill="1" applyBorder="1" applyAlignment="1" quotePrefix="1">
      <alignment horizontal="center" vertical="center" wrapText="1"/>
    </xf>
    <xf numFmtId="0" fontId="5" fillId="6" borderId="0" xfId="0" applyNumberFormat="1" applyFont="1" applyFill="1" applyBorder="1" applyAlignment="1" quotePrefix="1">
      <alignment horizontal="center" vertical="center" wrapText="1"/>
    </xf>
    <xf numFmtId="0" fontId="5" fillId="4" borderId="0" xfId="0" applyNumberFormat="1" applyFont="1" applyFill="1" applyBorder="1" applyAlignment="1" quotePrefix="1">
      <alignment horizontal="center" vertical="center" wrapText="1"/>
    </xf>
    <xf numFmtId="0" fontId="6" fillId="7" borderId="0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29"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1"/>
      </font>
      <fill>
        <patternFill patternType="solid">
          <bgColor theme="0" tint="-0.0999786370433668"/>
        </patternFill>
      </fill>
    </dxf>
    <dxf>
      <font>
        <b val="1"/>
        <u val="none"/>
        <color theme="1"/>
      </font>
      <fill>
        <patternFill patternType="solid">
          <bgColor theme="0" tint="-0.0999786370433668"/>
        </patternFill>
      </fill>
    </dxf>
    <dxf>
      <font>
        <b val="1"/>
        <u val="none"/>
        <color theme="1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/>
        <vertical/>
        <horizontal/>
      </border>
    </dxf>
    <dxf>
      <font>
        <b val="1"/>
        <u val="none"/>
        <color theme="1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 style="thin">
          <color theme="1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 style="thick">
          <color theme="1"/>
        </bottom>
        <vertical/>
        <horizontal/>
      </border>
    </dxf>
    <dxf>
      <fill>
        <patternFill patternType="solid">
          <bgColor rgb="FFFFFFFF"/>
        </patternFill>
      </fill>
      <border>
        <left/>
        <right style="medium">
          <color theme="1"/>
        </right>
        <top style="thin">
          <color theme="1"/>
        </top>
        <bottom style="medium">
          <color theme="1"/>
        </bottom>
        <vertical/>
        <horizontal/>
      </border>
    </dxf>
    <dxf>
      <fill>
        <patternFill patternType="solid">
          <bgColor rgb="FFFFFFFF"/>
        </patternFill>
      </fill>
      <border>
        <left style="medium">
          <color theme="1"/>
        </left>
        <right/>
        <top style="thin">
          <color theme="1"/>
        </top>
        <bottom style="medium">
          <color theme="1"/>
        </bottom>
        <vertical/>
        <horizontal/>
      </border>
    </dxf>
    <dxf>
      <fill>
        <patternFill patternType="none"/>
      </fill>
      <border>
        <left/>
        <right/>
        <top style="medium">
          <color theme="1"/>
        </top>
        <bottom style="medium">
          <color theme="1"/>
        </bottom>
        <vertical/>
        <horizontal/>
      </border>
    </dxf>
    <dxf>
      <fill>
        <patternFill patternType="solid">
          <bgColor theme="1" tint="0.9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/>
        <horizontal/>
      </border>
    </dxf>
    <dxf>
      <fill>
        <patternFill patternType="solid">
          <bgColor theme="1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/>
        <right style="medium">
          <color theme="1"/>
        </right>
        <top style="medium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 style="medium">
          <color theme="1"/>
        </left>
        <right/>
        <top style="medium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medium">
          <color theme="1"/>
        </left>
        <right style="medium">
          <color theme="1"/>
        </right>
        <top style="thin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theme="1" tint="0.8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thin">
          <color theme="1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Medium2" defaultPivotStyle="PivotStylePreset2_Accent1">
    <tableStyle name="三线式标题行镶边行表格样式_bf135f" count="9" xr9:uid="{11C2F002-478F-48BD-9CA1-34144CD118D1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secondRowStripe" dxfId="3"/>
      <tableStyleElement type="firstColumnStripe" dxfId="2"/>
      <tableStyleElement type="firstHeaderCell" dxfId="1"/>
      <tableStyleElement type="lastHeaderCell" dxfId="0"/>
    </tableStyle>
    <tableStyle name="简约边框浅色系标题行镶边行表格样式_59fe4d" count="10" xr9:uid="{6A08E92E-2899-4C6E-8CE9-7EC89AAF6054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secondRowStripe" dxfId="13"/>
      <tableStyleElement type="firstColumnStripe" dxfId="12"/>
      <tableStyleElement type="secondColumnStripe" dxfId="11"/>
      <tableStyleElement type="firstTotalCell" dxfId="10"/>
      <tableStyleElement type="lastTotalCell" dxfId="9"/>
    </tableStyle>
    <tableStyle name="PivotStylePreset2_Accent1" table="0" count="10" xr9:uid="{267968C8-6FFD-4C36-ACC1-9EA1FD1885CA}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</tableStyles>
  <colors>
    <mruColors>
      <color rgb="00FDF731"/>
      <color rgb="00DAA875"/>
      <color rgb="004DF5E7"/>
      <color rgb="0057C7D8"/>
      <color rgb="000484B1"/>
      <color rgb="00FB3F67"/>
      <color rgb="00F61851"/>
      <color rgb="00FFB86D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100.jpeg"/><Relationship Id="rId98" Type="http://schemas.openxmlformats.org/officeDocument/2006/relationships/image" Target="media/image99.jpeg"/><Relationship Id="rId97" Type="http://schemas.openxmlformats.org/officeDocument/2006/relationships/image" Target="media/image98.jpeg"/><Relationship Id="rId96" Type="http://schemas.openxmlformats.org/officeDocument/2006/relationships/image" Target="media/image97.jpeg"/><Relationship Id="rId95" Type="http://schemas.openxmlformats.org/officeDocument/2006/relationships/image" Target="media/image96.jpeg"/><Relationship Id="rId94" Type="http://schemas.openxmlformats.org/officeDocument/2006/relationships/image" Target="media/image95.jpeg"/><Relationship Id="rId93" Type="http://schemas.openxmlformats.org/officeDocument/2006/relationships/image" Target="media/image94.jpeg"/><Relationship Id="rId92" Type="http://schemas.openxmlformats.org/officeDocument/2006/relationships/image" Target="media/image93.jpeg"/><Relationship Id="rId91" Type="http://schemas.openxmlformats.org/officeDocument/2006/relationships/image" Target="media/image92.jpeg"/><Relationship Id="rId90" Type="http://schemas.openxmlformats.org/officeDocument/2006/relationships/image" Target="media/image91.jpeg"/><Relationship Id="rId9" Type="http://schemas.openxmlformats.org/officeDocument/2006/relationships/image" Target="media/image10.jpeg"/><Relationship Id="rId89" Type="http://schemas.openxmlformats.org/officeDocument/2006/relationships/image" Target="media/image90.jpeg"/><Relationship Id="rId88" Type="http://schemas.openxmlformats.org/officeDocument/2006/relationships/image" Target="media/image89.jpeg"/><Relationship Id="rId87" Type="http://schemas.openxmlformats.org/officeDocument/2006/relationships/image" Target="media/image88.jpeg"/><Relationship Id="rId86" Type="http://schemas.openxmlformats.org/officeDocument/2006/relationships/image" Target="media/image87.jpeg"/><Relationship Id="rId85" Type="http://schemas.openxmlformats.org/officeDocument/2006/relationships/image" Target="media/image86.jpeg"/><Relationship Id="rId84" Type="http://schemas.openxmlformats.org/officeDocument/2006/relationships/image" Target="media/image85.jpeg"/><Relationship Id="rId83" Type="http://schemas.openxmlformats.org/officeDocument/2006/relationships/image" Target="media/image84.jpeg"/><Relationship Id="rId82" Type="http://schemas.openxmlformats.org/officeDocument/2006/relationships/image" Target="media/image83.jpeg"/><Relationship Id="rId81" Type="http://schemas.openxmlformats.org/officeDocument/2006/relationships/image" Target="media/image82.jpeg"/><Relationship Id="rId80" Type="http://schemas.openxmlformats.org/officeDocument/2006/relationships/image" Target="media/image81.jpeg"/><Relationship Id="rId8" Type="http://schemas.openxmlformats.org/officeDocument/2006/relationships/image" Target="media/image9.jpeg"/><Relationship Id="rId79" Type="http://schemas.openxmlformats.org/officeDocument/2006/relationships/image" Target="media/image80.jpeg"/><Relationship Id="rId78" Type="http://schemas.openxmlformats.org/officeDocument/2006/relationships/image" Target="media/image79.jpeg"/><Relationship Id="rId77" Type="http://schemas.openxmlformats.org/officeDocument/2006/relationships/image" Target="media/image78.jpeg"/><Relationship Id="rId76" Type="http://schemas.openxmlformats.org/officeDocument/2006/relationships/image" Target="media/image77.jpeg"/><Relationship Id="rId75" Type="http://schemas.openxmlformats.org/officeDocument/2006/relationships/image" Target="media/image76.jpeg"/><Relationship Id="rId74" Type="http://schemas.openxmlformats.org/officeDocument/2006/relationships/image" Target="media/image75.jpeg"/><Relationship Id="rId73" Type="http://schemas.openxmlformats.org/officeDocument/2006/relationships/image" Target="media/image74.jpeg"/><Relationship Id="rId72" Type="http://schemas.openxmlformats.org/officeDocument/2006/relationships/image" Target="media/image73.jpeg"/><Relationship Id="rId71" Type="http://schemas.openxmlformats.org/officeDocument/2006/relationships/image" Target="media/image72.jpeg"/><Relationship Id="rId70" Type="http://schemas.openxmlformats.org/officeDocument/2006/relationships/image" Target="media/image71.jpeg"/><Relationship Id="rId7" Type="http://schemas.openxmlformats.org/officeDocument/2006/relationships/image" Target="media/image8.jpeg"/><Relationship Id="rId69" Type="http://schemas.openxmlformats.org/officeDocument/2006/relationships/image" Target="media/image70.jpeg"/><Relationship Id="rId68" Type="http://schemas.openxmlformats.org/officeDocument/2006/relationships/image" Target="media/image69.jpeg"/><Relationship Id="rId67" Type="http://schemas.openxmlformats.org/officeDocument/2006/relationships/image" Target="media/image68.jpeg"/><Relationship Id="rId66" Type="http://schemas.openxmlformats.org/officeDocument/2006/relationships/image" Target="media/image67.jpeg"/><Relationship Id="rId65" Type="http://schemas.openxmlformats.org/officeDocument/2006/relationships/image" Target="media/image66.jpeg"/><Relationship Id="rId64" Type="http://schemas.openxmlformats.org/officeDocument/2006/relationships/image" Target="media/image65.jpeg"/><Relationship Id="rId63" Type="http://schemas.openxmlformats.org/officeDocument/2006/relationships/image" Target="media/image64.jpeg"/><Relationship Id="rId62" Type="http://schemas.openxmlformats.org/officeDocument/2006/relationships/image" Target="media/image63.jpeg"/><Relationship Id="rId61" Type="http://schemas.openxmlformats.org/officeDocument/2006/relationships/image" Target="media/image62.jpeg"/><Relationship Id="rId60" Type="http://schemas.openxmlformats.org/officeDocument/2006/relationships/image" Target="media/image61.jpeg"/><Relationship Id="rId6" Type="http://schemas.openxmlformats.org/officeDocument/2006/relationships/image" Target="media/image7.jpeg"/><Relationship Id="rId59" Type="http://schemas.openxmlformats.org/officeDocument/2006/relationships/image" Target="media/image60.jpeg"/><Relationship Id="rId58" Type="http://schemas.openxmlformats.org/officeDocument/2006/relationships/image" Target="media/image59.jpeg"/><Relationship Id="rId57" Type="http://schemas.openxmlformats.org/officeDocument/2006/relationships/image" Target="media/image58.jpeg"/><Relationship Id="rId56" Type="http://schemas.openxmlformats.org/officeDocument/2006/relationships/image" Target="media/image57.jpeg"/><Relationship Id="rId55" Type="http://schemas.openxmlformats.org/officeDocument/2006/relationships/image" Target="media/image56.jpeg"/><Relationship Id="rId54" Type="http://schemas.openxmlformats.org/officeDocument/2006/relationships/image" Target="media/image55.jpeg"/><Relationship Id="rId53" Type="http://schemas.openxmlformats.org/officeDocument/2006/relationships/image" Target="media/image54.jpeg"/><Relationship Id="rId52" Type="http://schemas.openxmlformats.org/officeDocument/2006/relationships/image" Target="media/image53.jpeg"/><Relationship Id="rId51" Type="http://schemas.openxmlformats.org/officeDocument/2006/relationships/image" Target="media/image52.jpeg"/><Relationship Id="rId50" Type="http://schemas.openxmlformats.org/officeDocument/2006/relationships/image" Target="media/image51.jpeg"/><Relationship Id="rId5" Type="http://schemas.openxmlformats.org/officeDocument/2006/relationships/image" Target="media/image6.jpeg"/><Relationship Id="rId49" Type="http://schemas.openxmlformats.org/officeDocument/2006/relationships/image" Target="media/image50.jpeg"/><Relationship Id="rId48" Type="http://schemas.openxmlformats.org/officeDocument/2006/relationships/image" Target="media/image49.jpeg"/><Relationship Id="rId47" Type="http://schemas.openxmlformats.org/officeDocument/2006/relationships/image" Target="media/image48.jpeg"/><Relationship Id="rId46" Type="http://schemas.openxmlformats.org/officeDocument/2006/relationships/image" Target="media/image47.jpeg"/><Relationship Id="rId45" Type="http://schemas.openxmlformats.org/officeDocument/2006/relationships/image" Target="media/image46.png"/><Relationship Id="rId44" Type="http://schemas.openxmlformats.org/officeDocument/2006/relationships/image" Target="media/image45.jpeg"/><Relationship Id="rId43" Type="http://schemas.openxmlformats.org/officeDocument/2006/relationships/image" Target="media/image44.jpeg"/><Relationship Id="rId42" Type="http://schemas.openxmlformats.org/officeDocument/2006/relationships/image" Target="media/image43.jpeg"/><Relationship Id="rId41" Type="http://schemas.openxmlformats.org/officeDocument/2006/relationships/image" Target="media/image42.jpeg"/><Relationship Id="rId40" Type="http://schemas.openxmlformats.org/officeDocument/2006/relationships/image" Target="media/image41.jpeg"/><Relationship Id="rId4" Type="http://schemas.openxmlformats.org/officeDocument/2006/relationships/image" Target="media/image5.jpeg"/><Relationship Id="rId39" Type="http://schemas.openxmlformats.org/officeDocument/2006/relationships/image" Target="media/image40.jpeg"/><Relationship Id="rId38" Type="http://schemas.openxmlformats.org/officeDocument/2006/relationships/image" Target="media/image39.jpeg"/><Relationship Id="rId37" Type="http://schemas.openxmlformats.org/officeDocument/2006/relationships/image" Target="media/image38.jpeg"/><Relationship Id="rId36" Type="http://schemas.openxmlformats.org/officeDocument/2006/relationships/image" Target="media/image37.jpeg"/><Relationship Id="rId35" Type="http://schemas.openxmlformats.org/officeDocument/2006/relationships/image" Target="media/image36.jpeg"/><Relationship Id="rId34" Type="http://schemas.openxmlformats.org/officeDocument/2006/relationships/image" Target="media/image35.jpeg"/><Relationship Id="rId33" Type="http://schemas.openxmlformats.org/officeDocument/2006/relationships/image" Target="media/image34.jpeg"/><Relationship Id="rId32" Type="http://schemas.openxmlformats.org/officeDocument/2006/relationships/image" Target="media/image33.jpeg"/><Relationship Id="rId31" Type="http://schemas.openxmlformats.org/officeDocument/2006/relationships/image" Target="media/image32.jpeg"/><Relationship Id="rId30" Type="http://schemas.openxmlformats.org/officeDocument/2006/relationships/image" Target="media/image31.jpeg"/><Relationship Id="rId3" Type="http://schemas.openxmlformats.org/officeDocument/2006/relationships/image" Target="media/image4.jpeg"/><Relationship Id="rId290" Type="http://schemas.openxmlformats.org/officeDocument/2006/relationships/image" Target="media/image291.jpeg"/><Relationship Id="rId29" Type="http://schemas.openxmlformats.org/officeDocument/2006/relationships/image" Target="media/image30.jpeg"/><Relationship Id="rId289" Type="http://schemas.openxmlformats.org/officeDocument/2006/relationships/image" Target="media/image290.jpeg"/><Relationship Id="rId288" Type="http://schemas.openxmlformats.org/officeDocument/2006/relationships/image" Target="media/image289.jpeg"/><Relationship Id="rId287" Type="http://schemas.openxmlformats.org/officeDocument/2006/relationships/image" Target="media/image288.jpeg"/><Relationship Id="rId286" Type="http://schemas.openxmlformats.org/officeDocument/2006/relationships/image" Target="media/image287.jpeg"/><Relationship Id="rId285" Type="http://schemas.openxmlformats.org/officeDocument/2006/relationships/image" Target="media/image286.jpeg"/><Relationship Id="rId284" Type="http://schemas.openxmlformats.org/officeDocument/2006/relationships/image" Target="media/image285.jpeg"/><Relationship Id="rId283" Type="http://schemas.openxmlformats.org/officeDocument/2006/relationships/image" Target="media/image284.jpeg"/><Relationship Id="rId282" Type="http://schemas.openxmlformats.org/officeDocument/2006/relationships/image" Target="media/image283.webp"/><Relationship Id="rId281" Type="http://schemas.openxmlformats.org/officeDocument/2006/relationships/image" Target="media/image282.webp"/><Relationship Id="rId280" Type="http://schemas.openxmlformats.org/officeDocument/2006/relationships/image" Target="media/image281.jpeg"/><Relationship Id="rId28" Type="http://schemas.openxmlformats.org/officeDocument/2006/relationships/image" Target="media/image29.jpeg"/><Relationship Id="rId279" Type="http://schemas.openxmlformats.org/officeDocument/2006/relationships/image" Target="media/image280.webp"/><Relationship Id="rId278" Type="http://schemas.openxmlformats.org/officeDocument/2006/relationships/image" Target="media/image279.jpeg"/><Relationship Id="rId277" Type="http://schemas.openxmlformats.org/officeDocument/2006/relationships/image" Target="media/image278.jpeg"/><Relationship Id="rId276" Type="http://schemas.openxmlformats.org/officeDocument/2006/relationships/image" Target="media/image277.jpeg"/><Relationship Id="rId275" Type="http://schemas.openxmlformats.org/officeDocument/2006/relationships/image" Target="media/image276.jpeg"/><Relationship Id="rId274" Type="http://schemas.openxmlformats.org/officeDocument/2006/relationships/image" Target="media/image275.jpeg"/><Relationship Id="rId273" Type="http://schemas.openxmlformats.org/officeDocument/2006/relationships/image" Target="media/image274.png"/><Relationship Id="rId272" Type="http://schemas.openxmlformats.org/officeDocument/2006/relationships/image" Target="media/image273.jpeg"/><Relationship Id="rId271" Type="http://schemas.openxmlformats.org/officeDocument/2006/relationships/image" Target="media/image272.jpeg"/><Relationship Id="rId270" Type="http://schemas.openxmlformats.org/officeDocument/2006/relationships/image" Target="media/image271.webp"/><Relationship Id="rId27" Type="http://schemas.openxmlformats.org/officeDocument/2006/relationships/image" Target="media/image28.jpeg"/><Relationship Id="rId269" Type="http://schemas.openxmlformats.org/officeDocument/2006/relationships/image" Target="media/image270.jpeg"/><Relationship Id="rId268" Type="http://schemas.openxmlformats.org/officeDocument/2006/relationships/image" Target="media/image269.webp"/><Relationship Id="rId267" Type="http://schemas.openxmlformats.org/officeDocument/2006/relationships/image" Target="media/image268.jpeg"/><Relationship Id="rId266" Type="http://schemas.openxmlformats.org/officeDocument/2006/relationships/image" Target="media/image267.jpeg"/><Relationship Id="rId265" Type="http://schemas.openxmlformats.org/officeDocument/2006/relationships/image" Target="media/image266.jpeg"/><Relationship Id="rId264" Type="http://schemas.openxmlformats.org/officeDocument/2006/relationships/image" Target="media/image265.jpeg"/><Relationship Id="rId263" Type="http://schemas.openxmlformats.org/officeDocument/2006/relationships/image" Target="media/image264.jpeg"/><Relationship Id="rId262" Type="http://schemas.openxmlformats.org/officeDocument/2006/relationships/image" Target="media/image263.jpeg"/><Relationship Id="rId261" Type="http://schemas.openxmlformats.org/officeDocument/2006/relationships/image" Target="media/image262.jpeg"/><Relationship Id="rId260" Type="http://schemas.openxmlformats.org/officeDocument/2006/relationships/image" Target="media/image261.jpeg"/><Relationship Id="rId26" Type="http://schemas.openxmlformats.org/officeDocument/2006/relationships/image" Target="media/image27.jpeg"/><Relationship Id="rId259" Type="http://schemas.openxmlformats.org/officeDocument/2006/relationships/image" Target="media/image260.webp"/><Relationship Id="rId258" Type="http://schemas.openxmlformats.org/officeDocument/2006/relationships/image" Target="media/image259.jpeg"/><Relationship Id="rId257" Type="http://schemas.openxmlformats.org/officeDocument/2006/relationships/image" Target="media/image258.jpeg"/><Relationship Id="rId256" Type="http://schemas.openxmlformats.org/officeDocument/2006/relationships/image" Target="media/image257.jpeg"/><Relationship Id="rId255" Type="http://schemas.openxmlformats.org/officeDocument/2006/relationships/image" Target="media/image256.jpeg"/><Relationship Id="rId254" Type="http://schemas.openxmlformats.org/officeDocument/2006/relationships/image" Target="media/image255.jpeg"/><Relationship Id="rId253" Type="http://schemas.openxmlformats.org/officeDocument/2006/relationships/image" Target="media/image254.jpeg"/><Relationship Id="rId252" Type="http://schemas.openxmlformats.org/officeDocument/2006/relationships/image" Target="media/image253.jpeg"/><Relationship Id="rId251" Type="http://schemas.openxmlformats.org/officeDocument/2006/relationships/image" Target="media/image252.jpeg"/><Relationship Id="rId250" Type="http://schemas.openxmlformats.org/officeDocument/2006/relationships/image" Target="media/image251.jpeg"/><Relationship Id="rId25" Type="http://schemas.openxmlformats.org/officeDocument/2006/relationships/image" Target="media/image26.jpeg"/><Relationship Id="rId249" Type="http://schemas.openxmlformats.org/officeDocument/2006/relationships/image" Target="media/image250.jpeg"/><Relationship Id="rId248" Type="http://schemas.openxmlformats.org/officeDocument/2006/relationships/image" Target="media/image249.jpeg"/><Relationship Id="rId247" Type="http://schemas.openxmlformats.org/officeDocument/2006/relationships/image" Target="media/image248.jpeg"/><Relationship Id="rId246" Type="http://schemas.openxmlformats.org/officeDocument/2006/relationships/image" Target="media/image247.jpeg"/><Relationship Id="rId245" Type="http://schemas.openxmlformats.org/officeDocument/2006/relationships/image" Target="media/image246.jpeg"/><Relationship Id="rId244" Type="http://schemas.openxmlformats.org/officeDocument/2006/relationships/image" Target="media/image245.jpeg"/><Relationship Id="rId243" Type="http://schemas.openxmlformats.org/officeDocument/2006/relationships/image" Target="media/image244.jpeg"/><Relationship Id="rId242" Type="http://schemas.openxmlformats.org/officeDocument/2006/relationships/image" Target="media/image243.jpeg"/><Relationship Id="rId241" Type="http://schemas.openxmlformats.org/officeDocument/2006/relationships/image" Target="media/image242.jpeg"/><Relationship Id="rId240" Type="http://schemas.openxmlformats.org/officeDocument/2006/relationships/image" Target="media/image241.jpeg"/><Relationship Id="rId24" Type="http://schemas.openxmlformats.org/officeDocument/2006/relationships/image" Target="media/image25.jpeg"/><Relationship Id="rId239" Type="http://schemas.openxmlformats.org/officeDocument/2006/relationships/image" Target="media/image240.jpeg"/><Relationship Id="rId238" Type="http://schemas.openxmlformats.org/officeDocument/2006/relationships/image" Target="media/image239.jpeg"/><Relationship Id="rId237" Type="http://schemas.openxmlformats.org/officeDocument/2006/relationships/image" Target="media/image238.jpeg"/><Relationship Id="rId236" Type="http://schemas.openxmlformats.org/officeDocument/2006/relationships/image" Target="media/image237.jpeg"/><Relationship Id="rId235" Type="http://schemas.openxmlformats.org/officeDocument/2006/relationships/image" Target="media/image236.jpeg"/><Relationship Id="rId234" Type="http://schemas.openxmlformats.org/officeDocument/2006/relationships/image" Target="media/image235.jpeg"/><Relationship Id="rId233" Type="http://schemas.openxmlformats.org/officeDocument/2006/relationships/image" Target="media/image234.jpeg"/><Relationship Id="rId232" Type="http://schemas.openxmlformats.org/officeDocument/2006/relationships/image" Target="media/image233.jpeg"/><Relationship Id="rId231" Type="http://schemas.openxmlformats.org/officeDocument/2006/relationships/image" Target="media/image232.jpeg"/><Relationship Id="rId230" Type="http://schemas.openxmlformats.org/officeDocument/2006/relationships/image" Target="media/image231.jpeg"/><Relationship Id="rId23" Type="http://schemas.openxmlformats.org/officeDocument/2006/relationships/image" Target="media/image24.jpeg"/><Relationship Id="rId229" Type="http://schemas.openxmlformats.org/officeDocument/2006/relationships/image" Target="media/image230.jpeg"/><Relationship Id="rId228" Type="http://schemas.openxmlformats.org/officeDocument/2006/relationships/image" Target="media/image229.jpeg"/><Relationship Id="rId227" Type="http://schemas.openxmlformats.org/officeDocument/2006/relationships/image" Target="media/image228.jpeg"/><Relationship Id="rId226" Type="http://schemas.openxmlformats.org/officeDocument/2006/relationships/image" Target="media/image227.jpeg"/><Relationship Id="rId225" Type="http://schemas.openxmlformats.org/officeDocument/2006/relationships/image" Target="media/image226.jpeg"/><Relationship Id="rId224" Type="http://schemas.openxmlformats.org/officeDocument/2006/relationships/image" Target="media/image225.jpeg"/><Relationship Id="rId223" Type="http://schemas.openxmlformats.org/officeDocument/2006/relationships/image" Target="media/image224.jpeg"/><Relationship Id="rId222" Type="http://schemas.openxmlformats.org/officeDocument/2006/relationships/image" Target="media/image223.jpeg"/><Relationship Id="rId221" Type="http://schemas.openxmlformats.org/officeDocument/2006/relationships/image" Target="media/image222.jpeg"/><Relationship Id="rId220" Type="http://schemas.openxmlformats.org/officeDocument/2006/relationships/image" Target="media/image221.jpeg"/><Relationship Id="rId22" Type="http://schemas.openxmlformats.org/officeDocument/2006/relationships/image" Target="media/image23.jpeg"/><Relationship Id="rId219" Type="http://schemas.openxmlformats.org/officeDocument/2006/relationships/image" Target="media/image220.jpeg"/><Relationship Id="rId218" Type="http://schemas.openxmlformats.org/officeDocument/2006/relationships/image" Target="media/image219.jpeg"/><Relationship Id="rId217" Type="http://schemas.openxmlformats.org/officeDocument/2006/relationships/image" Target="media/image218.jpeg"/><Relationship Id="rId216" Type="http://schemas.openxmlformats.org/officeDocument/2006/relationships/image" Target="media/image217.jpeg"/><Relationship Id="rId215" Type="http://schemas.openxmlformats.org/officeDocument/2006/relationships/image" Target="media/image216.jpeg"/><Relationship Id="rId214" Type="http://schemas.openxmlformats.org/officeDocument/2006/relationships/image" Target="media/image215.jpeg"/><Relationship Id="rId213" Type="http://schemas.openxmlformats.org/officeDocument/2006/relationships/image" Target="media/image214.jpeg"/><Relationship Id="rId212" Type="http://schemas.openxmlformats.org/officeDocument/2006/relationships/image" Target="media/image213.png"/><Relationship Id="rId211" Type="http://schemas.openxmlformats.org/officeDocument/2006/relationships/image" Target="media/image212.jpeg"/><Relationship Id="rId210" Type="http://schemas.openxmlformats.org/officeDocument/2006/relationships/image" Target="media/image211.jpeg"/><Relationship Id="rId21" Type="http://schemas.openxmlformats.org/officeDocument/2006/relationships/image" Target="media/image22.jpeg"/><Relationship Id="rId209" Type="http://schemas.openxmlformats.org/officeDocument/2006/relationships/image" Target="media/image210.jpeg"/><Relationship Id="rId208" Type="http://schemas.openxmlformats.org/officeDocument/2006/relationships/image" Target="media/image209.jpeg"/><Relationship Id="rId207" Type="http://schemas.openxmlformats.org/officeDocument/2006/relationships/image" Target="media/image208.png"/><Relationship Id="rId206" Type="http://schemas.openxmlformats.org/officeDocument/2006/relationships/image" Target="media/image207.png"/><Relationship Id="rId205" Type="http://schemas.openxmlformats.org/officeDocument/2006/relationships/image" Target="media/image206.png"/><Relationship Id="rId204" Type="http://schemas.openxmlformats.org/officeDocument/2006/relationships/image" Target="media/image205.png"/><Relationship Id="rId203" Type="http://schemas.openxmlformats.org/officeDocument/2006/relationships/image" Target="media/image204.png"/><Relationship Id="rId202" Type="http://schemas.openxmlformats.org/officeDocument/2006/relationships/image" Target="media/image203.png"/><Relationship Id="rId201" Type="http://schemas.openxmlformats.org/officeDocument/2006/relationships/image" Target="media/image202.png"/><Relationship Id="rId200" Type="http://schemas.openxmlformats.org/officeDocument/2006/relationships/image" Target="media/image201.png"/><Relationship Id="rId20" Type="http://schemas.openxmlformats.org/officeDocument/2006/relationships/image" Target="media/image21.jpeg"/><Relationship Id="rId2" Type="http://schemas.openxmlformats.org/officeDocument/2006/relationships/image" Target="NULL" TargetMode="External"/><Relationship Id="rId199" Type="http://schemas.openxmlformats.org/officeDocument/2006/relationships/image" Target="media/image200.png"/><Relationship Id="rId198" Type="http://schemas.openxmlformats.org/officeDocument/2006/relationships/image" Target="media/image199.png"/><Relationship Id="rId197" Type="http://schemas.openxmlformats.org/officeDocument/2006/relationships/image" Target="media/image198.png"/><Relationship Id="rId196" Type="http://schemas.openxmlformats.org/officeDocument/2006/relationships/image" Target="media/image197.png"/><Relationship Id="rId195" Type="http://schemas.openxmlformats.org/officeDocument/2006/relationships/image" Target="media/image196.png"/><Relationship Id="rId194" Type="http://schemas.openxmlformats.org/officeDocument/2006/relationships/image" Target="media/image195.png"/><Relationship Id="rId193" Type="http://schemas.openxmlformats.org/officeDocument/2006/relationships/image" Target="media/image194.png"/><Relationship Id="rId192" Type="http://schemas.openxmlformats.org/officeDocument/2006/relationships/image" Target="media/image193.png"/><Relationship Id="rId191" Type="http://schemas.openxmlformats.org/officeDocument/2006/relationships/image" Target="media/image192.png"/><Relationship Id="rId190" Type="http://schemas.openxmlformats.org/officeDocument/2006/relationships/image" Target="media/image191.png"/><Relationship Id="rId19" Type="http://schemas.openxmlformats.org/officeDocument/2006/relationships/image" Target="media/image20.jpeg"/><Relationship Id="rId189" Type="http://schemas.openxmlformats.org/officeDocument/2006/relationships/image" Target="media/image190.png"/><Relationship Id="rId188" Type="http://schemas.openxmlformats.org/officeDocument/2006/relationships/image" Target="media/image189.png"/><Relationship Id="rId187" Type="http://schemas.openxmlformats.org/officeDocument/2006/relationships/image" Target="media/image188.png"/><Relationship Id="rId186" Type="http://schemas.openxmlformats.org/officeDocument/2006/relationships/image" Target="media/image187.png"/><Relationship Id="rId185" Type="http://schemas.openxmlformats.org/officeDocument/2006/relationships/image" Target="media/image186.png"/><Relationship Id="rId184" Type="http://schemas.openxmlformats.org/officeDocument/2006/relationships/image" Target="media/image185.png"/><Relationship Id="rId183" Type="http://schemas.openxmlformats.org/officeDocument/2006/relationships/image" Target="media/image184.png"/><Relationship Id="rId182" Type="http://schemas.openxmlformats.org/officeDocument/2006/relationships/image" Target="media/image183.png"/><Relationship Id="rId181" Type="http://schemas.openxmlformats.org/officeDocument/2006/relationships/image" Target="media/image182.png"/><Relationship Id="rId180" Type="http://schemas.openxmlformats.org/officeDocument/2006/relationships/image" Target="media/image181.png"/><Relationship Id="rId18" Type="http://schemas.openxmlformats.org/officeDocument/2006/relationships/image" Target="media/image19.jpeg"/><Relationship Id="rId179" Type="http://schemas.openxmlformats.org/officeDocument/2006/relationships/image" Target="media/image180.png"/><Relationship Id="rId178" Type="http://schemas.openxmlformats.org/officeDocument/2006/relationships/image" Target="media/image179.png"/><Relationship Id="rId177" Type="http://schemas.openxmlformats.org/officeDocument/2006/relationships/image" Target="media/image178.png"/><Relationship Id="rId176" Type="http://schemas.openxmlformats.org/officeDocument/2006/relationships/image" Target="media/image177.png"/><Relationship Id="rId175" Type="http://schemas.openxmlformats.org/officeDocument/2006/relationships/image" Target="media/image176.png"/><Relationship Id="rId174" Type="http://schemas.openxmlformats.org/officeDocument/2006/relationships/image" Target="media/image175.png"/><Relationship Id="rId173" Type="http://schemas.openxmlformats.org/officeDocument/2006/relationships/image" Target="media/image174.png"/><Relationship Id="rId172" Type="http://schemas.openxmlformats.org/officeDocument/2006/relationships/image" Target="media/image173.png"/><Relationship Id="rId171" Type="http://schemas.openxmlformats.org/officeDocument/2006/relationships/image" Target="media/image172.png"/><Relationship Id="rId170" Type="http://schemas.openxmlformats.org/officeDocument/2006/relationships/image" Target="media/image171.png"/><Relationship Id="rId17" Type="http://schemas.openxmlformats.org/officeDocument/2006/relationships/image" Target="media/image18.jpeg"/><Relationship Id="rId169" Type="http://schemas.openxmlformats.org/officeDocument/2006/relationships/image" Target="media/image170.png"/><Relationship Id="rId168" Type="http://schemas.openxmlformats.org/officeDocument/2006/relationships/image" Target="media/image169.png"/><Relationship Id="rId167" Type="http://schemas.openxmlformats.org/officeDocument/2006/relationships/image" Target="media/image168.png"/><Relationship Id="rId166" Type="http://schemas.openxmlformats.org/officeDocument/2006/relationships/image" Target="media/image167.png"/><Relationship Id="rId165" Type="http://schemas.openxmlformats.org/officeDocument/2006/relationships/image" Target="media/image166.png"/><Relationship Id="rId164" Type="http://schemas.openxmlformats.org/officeDocument/2006/relationships/image" Target="media/image165.png"/><Relationship Id="rId163" Type="http://schemas.openxmlformats.org/officeDocument/2006/relationships/image" Target="media/image164.png"/><Relationship Id="rId162" Type="http://schemas.openxmlformats.org/officeDocument/2006/relationships/image" Target="media/image163.png"/><Relationship Id="rId161" Type="http://schemas.openxmlformats.org/officeDocument/2006/relationships/image" Target="media/image162.png"/><Relationship Id="rId160" Type="http://schemas.openxmlformats.org/officeDocument/2006/relationships/image" Target="media/image161.png"/><Relationship Id="rId16" Type="http://schemas.openxmlformats.org/officeDocument/2006/relationships/image" Target="media/image17.jpeg"/><Relationship Id="rId159" Type="http://schemas.openxmlformats.org/officeDocument/2006/relationships/image" Target="media/image160.png"/><Relationship Id="rId158" Type="http://schemas.openxmlformats.org/officeDocument/2006/relationships/image" Target="media/image159.png"/><Relationship Id="rId157" Type="http://schemas.openxmlformats.org/officeDocument/2006/relationships/image" Target="media/image158.png"/><Relationship Id="rId156" Type="http://schemas.openxmlformats.org/officeDocument/2006/relationships/image" Target="media/image157.png"/><Relationship Id="rId155" Type="http://schemas.openxmlformats.org/officeDocument/2006/relationships/image" Target="media/image156.jpeg"/><Relationship Id="rId154" Type="http://schemas.openxmlformats.org/officeDocument/2006/relationships/image" Target="media/image155.jpeg"/><Relationship Id="rId153" Type="http://schemas.openxmlformats.org/officeDocument/2006/relationships/image" Target="media/image154.jpeg"/><Relationship Id="rId152" Type="http://schemas.openxmlformats.org/officeDocument/2006/relationships/image" Target="media/image153.jpeg"/><Relationship Id="rId151" Type="http://schemas.openxmlformats.org/officeDocument/2006/relationships/image" Target="media/image152.jpeg"/><Relationship Id="rId150" Type="http://schemas.openxmlformats.org/officeDocument/2006/relationships/image" Target="media/image151.webp"/><Relationship Id="rId15" Type="http://schemas.openxmlformats.org/officeDocument/2006/relationships/image" Target="media/image16.jpeg"/><Relationship Id="rId149" Type="http://schemas.openxmlformats.org/officeDocument/2006/relationships/image" Target="media/image150.webp"/><Relationship Id="rId148" Type="http://schemas.openxmlformats.org/officeDocument/2006/relationships/image" Target="media/image149.webp"/><Relationship Id="rId147" Type="http://schemas.openxmlformats.org/officeDocument/2006/relationships/image" Target="media/image148.webp"/><Relationship Id="rId146" Type="http://schemas.openxmlformats.org/officeDocument/2006/relationships/image" Target="media/image147.webp"/><Relationship Id="rId145" Type="http://schemas.openxmlformats.org/officeDocument/2006/relationships/image" Target="media/image146.webp"/><Relationship Id="rId144" Type="http://schemas.openxmlformats.org/officeDocument/2006/relationships/image" Target="media/image145.webp"/><Relationship Id="rId143" Type="http://schemas.openxmlformats.org/officeDocument/2006/relationships/image" Target="media/image144.jpeg"/><Relationship Id="rId142" Type="http://schemas.openxmlformats.org/officeDocument/2006/relationships/image" Target="media/image143.webp"/><Relationship Id="rId141" Type="http://schemas.openxmlformats.org/officeDocument/2006/relationships/image" Target="media/image142.webp"/><Relationship Id="rId140" Type="http://schemas.openxmlformats.org/officeDocument/2006/relationships/image" Target="media/image141.webp"/><Relationship Id="rId14" Type="http://schemas.openxmlformats.org/officeDocument/2006/relationships/image" Target="media/image15.jpeg"/><Relationship Id="rId139" Type="http://schemas.openxmlformats.org/officeDocument/2006/relationships/image" Target="media/image140.webp"/><Relationship Id="rId138" Type="http://schemas.openxmlformats.org/officeDocument/2006/relationships/image" Target="media/image139.webp"/><Relationship Id="rId137" Type="http://schemas.openxmlformats.org/officeDocument/2006/relationships/image" Target="media/image138.webp"/><Relationship Id="rId136" Type="http://schemas.openxmlformats.org/officeDocument/2006/relationships/image" Target="media/image137.webp"/><Relationship Id="rId135" Type="http://schemas.openxmlformats.org/officeDocument/2006/relationships/image" Target="media/image136.webp"/><Relationship Id="rId134" Type="http://schemas.openxmlformats.org/officeDocument/2006/relationships/image" Target="media/image135.webp"/><Relationship Id="rId133" Type="http://schemas.openxmlformats.org/officeDocument/2006/relationships/image" Target="media/image134.webp"/><Relationship Id="rId132" Type="http://schemas.openxmlformats.org/officeDocument/2006/relationships/image" Target="media/image133.webp"/><Relationship Id="rId131" Type="http://schemas.openxmlformats.org/officeDocument/2006/relationships/image" Target="media/image132.webp"/><Relationship Id="rId130" Type="http://schemas.openxmlformats.org/officeDocument/2006/relationships/image" Target="media/image131.webp"/><Relationship Id="rId13" Type="http://schemas.openxmlformats.org/officeDocument/2006/relationships/image" Target="media/image14.jpeg"/><Relationship Id="rId129" Type="http://schemas.openxmlformats.org/officeDocument/2006/relationships/image" Target="media/image130.webp"/><Relationship Id="rId128" Type="http://schemas.openxmlformats.org/officeDocument/2006/relationships/image" Target="media/image129.webp"/><Relationship Id="rId127" Type="http://schemas.openxmlformats.org/officeDocument/2006/relationships/image" Target="media/image128.webp"/><Relationship Id="rId126" Type="http://schemas.openxmlformats.org/officeDocument/2006/relationships/image" Target="media/image127.webp"/><Relationship Id="rId125" Type="http://schemas.openxmlformats.org/officeDocument/2006/relationships/image" Target="media/image126.webp"/><Relationship Id="rId124" Type="http://schemas.openxmlformats.org/officeDocument/2006/relationships/image" Target="media/image125.webp"/><Relationship Id="rId123" Type="http://schemas.openxmlformats.org/officeDocument/2006/relationships/image" Target="media/image124.webp"/><Relationship Id="rId122" Type="http://schemas.openxmlformats.org/officeDocument/2006/relationships/image" Target="media/image123.webp"/><Relationship Id="rId121" Type="http://schemas.openxmlformats.org/officeDocument/2006/relationships/image" Target="media/image122.webp"/><Relationship Id="rId120" Type="http://schemas.openxmlformats.org/officeDocument/2006/relationships/image" Target="media/image121.webp"/><Relationship Id="rId12" Type="http://schemas.openxmlformats.org/officeDocument/2006/relationships/image" Target="media/image13.jpeg"/><Relationship Id="rId119" Type="http://schemas.openxmlformats.org/officeDocument/2006/relationships/image" Target="media/image120.webp"/><Relationship Id="rId118" Type="http://schemas.openxmlformats.org/officeDocument/2006/relationships/image" Target="media/image119.webp"/><Relationship Id="rId117" Type="http://schemas.openxmlformats.org/officeDocument/2006/relationships/image" Target="media/image118.webp"/><Relationship Id="rId116" Type="http://schemas.openxmlformats.org/officeDocument/2006/relationships/image" Target="media/image117.webp"/><Relationship Id="rId115" Type="http://schemas.openxmlformats.org/officeDocument/2006/relationships/image" Target="media/image116.webp"/><Relationship Id="rId114" Type="http://schemas.openxmlformats.org/officeDocument/2006/relationships/image" Target="media/image115.webp"/><Relationship Id="rId113" Type="http://schemas.openxmlformats.org/officeDocument/2006/relationships/image" Target="media/image114.webp"/><Relationship Id="rId112" Type="http://schemas.openxmlformats.org/officeDocument/2006/relationships/image" Target="media/image113.webp"/><Relationship Id="rId111" Type="http://schemas.openxmlformats.org/officeDocument/2006/relationships/image" Target="media/image112.webp"/><Relationship Id="rId110" Type="http://schemas.openxmlformats.org/officeDocument/2006/relationships/image" Target="media/image111.webp"/><Relationship Id="rId11" Type="http://schemas.openxmlformats.org/officeDocument/2006/relationships/image" Target="media/image12.jpeg"/><Relationship Id="rId109" Type="http://schemas.openxmlformats.org/officeDocument/2006/relationships/image" Target="media/image110.webp"/><Relationship Id="rId108" Type="http://schemas.openxmlformats.org/officeDocument/2006/relationships/image" Target="media/image109.webp"/><Relationship Id="rId107" Type="http://schemas.openxmlformats.org/officeDocument/2006/relationships/image" Target="media/image108.jpeg"/><Relationship Id="rId106" Type="http://schemas.openxmlformats.org/officeDocument/2006/relationships/image" Target="media/image107.jpeg"/><Relationship Id="rId105" Type="http://schemas.openxmlformats.org/officeDocument/2006/relationships/image" Target="media/image106.jpeg"/><Relationship Id="rId104" Type="http://schemas.openxmlformats.org/officeDocument/2006/relationships/image" Target="media/image105.jpeg"/><Relationship Id="rId103" Type="http://schemas.openxmlformats.org/officeDocument/2006/relationships/image" Target="media/image104.jpeg"/><Relationship Id="rId102" Type="http://schemas.openxmlformats.org/officeDocument/2006/relationships/image" Target="media/image103.jpeg"/><Relationship Id="rId101" Type="http://schemas.openxmlformats.org/officeDocument/2006/relationships/image" Target="media/image102.jpeg"/><Relationship Id="rId100" Type="http://schemas.openxmlformats.org/officeDocument/2006/relationships/image" Target="media/image101.jpeg"/><Relationship Id="rId10" Type="http://schemas.openxmlformats.org/officeDocument/2006/relationships/image" Target="media/image11.jpeg"/><Relationship Id="rId1" Type="http://schemas.openxmlformats.org/officeDocument/2006/relationships/image" Target="media/image3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123825</xdr:colOff>
      <xdr:row>3</xdr:row>
      <xdr:rowOff>62230</xdr:rowOff>
    </xdr:from>
    <xdr:to>
      <xdr:col>10</xdr:col>
      <xdr:colOff>172720</xdr:colOff>
      <xdr:row>12</xdr:row>
      <xdr:rowOff>142240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4225" y="748030"/>
          <a:ext cx="3858895" cy="958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3</xdr:col>
      <xdr:colOff>723900</xdr:colOff>
      <xdr:row>0</xdr:row>
      <xdr:rowOff>553720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3901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 editAs="oneCell">
    <xdr:from>
      <xdr:col>1</xdr:col>
      <xdr:colOff>167005</xdr:colOff>
      <xdr:row>7</xdr:row>
      <xdr:rowOff>179705</xdr:rowOff>
    </xdr:from>
    <xdr:to>
      <xdr:col>1</xdr:col>
      <xdr:colOff>422910</xdr:colOff>
      <xdr:row>7</xdr:row>
      <xdr:rowOff>458470</xdr:rowOff>
    </xdr:to>
    <xdr:pic>
      <xdr:nvPicPr>
        <xdr:cNvPr id="28" name="ID_F01BE7E4FC72412CB097BC0E2E3976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053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10</xdr:row>
      <xdr:rowOff>179705</xdr:rowOff>
    </xdr:from>
    <xdr:to>
      <xdr:col>1</xdr:col>
      <xdr:colOff>422910</xdr:colOff>
      <xdr:row>10</xdr:row>
      <xdr:rowOff>458470</xdr:rowOff>
    </xdr:to>
    <xdr:pic>
      <xdr:nvPicPr>
        <xdr:cNvPr id="30" name="ID_7138F2BBE20E4C20A999465870CE735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640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11</xdr:row>
      <xdr:rowOff>179705</xdr:rowOff>
    </xdr:from>
    <xdr:to>
      <xdr:col>1</xdr:col>
      <xdr:colOff>422910</xdr:colOff>
      <xdr:row>11</xdr:row>
      <xdr:rowOff>458470</xdr:rowOff>
    </xdr:to>
    <xdr:pic>
      <xdr:nvPicPr>
        <xdr:cNvPr id="25" name="ID_213BAAF0ADD046BFA3457A35B84ACE6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627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12</xdr:row>
      <xdr:rowOff>179705</xdr:rowOff>
    </xdr:from>
    <xdr:to>
      <xdr:col>1</xdr:col>
      <xdr:colOff>422910</xdr:colOff>
      <xdr:row>12</xdr:row>
      <xdr:rowOff>458470</xdr:rowOff>
    </xdr:to>
    <xdr:pic>
      <xdr:nvPicPr>
        <xdr:cNvPr id="26" name="ID_BB97CF03EBE74353B5A458D2F7A3DBA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6910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24</xdr:row>
      <xdr:rowOff>179705</xdr:rowOff>
    </xdr:from>
    <xdr:to>
      <xdr:col>1</xdr:col>
      <xdr:colOff>422910</xdr:colOff>
      <xdr:row>24</xdr:row>
      <xdr:rowOff>458470</xdr:rowOff>
    </xdr:to>
    <xdr:pic>
      <xdr:nvPicPr>
        <xdr:cNvPr id="31" name="ID_1BCA9105E66A495AA8FE7BD6DB74BAA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389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26</xdr:row>
      <xdr:rowOff>179705</xdr:rowOff>
    </xdr:from>
    <xdr:to>
      <xdr:col>1</xdr:col>
      <xdr:colOff>422910</xdr:colOff>
      <xdr:row>26</xdr:row>
      <xdr:rowOff>458470</xdr:rowOff>
    </xdr:to>
    <xdr:pic>
      <xdr:nvPicPr>
        <xdr:cNvPr id="32" name="ID_7334C988FC1042DFB85CC03E390A2C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516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27</xdr:row>
      <xdr:rowOff>179705</xdr:rowOff>
    </xdr:from>
    <xdr:to>
      <xdr:col>1</xdr:col>
      <xdr:colOff>422910</xdr:colOff>
      <xdr:row>27</xdr:row>
      <xdr:rowOff>458470</xdr:rowOff>
    </xdr:to>
    <xdr:pic>
      <xdr:nvPicPr>
        <xdr:cNvPr id="33" name="ID_D5596842A5B24202BBB690D3DA0060E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5800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28</xdr:row>
      <xdr:rowOff>179705</xdr:rowOff>
    </xdr:from>
    <xdr:to>
      <xdr:col>1</xdr:col>
      <xdr:colOff>422910</xdr:colOff>
      <xdr:row>28</xdr:row>
      <xdr:rowOff>458470</xdr:rowOff>
    </xdr:to>
    <xdr:pic>
      <xdr:nvPicPr>
        <xdr:cNvPr id="34" name="ID_16C51E1BFFA342A88A5D5E82A0E288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643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39</xdr:row>
      <xdr:rowOff>179705</xdr:rowOff>
    </xdr:from>
    <xdr:to>
      <xdr:col>1</xdr:col>
      <xdr:colOff>422910</xdr:colOff>
      <xdr:row>39</xdr:row>
      <xdr:rowOff>458470</xdr:rowOff>
    </xdr:to>
    <xdr:pic>
      <xdr:nvPicPr>
        <xdr:cNvPr id="35" name="ID_A216E7FA2A074D94A33176AA768FB0A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278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40</xdr:row>
      <xdr:rowOff>179705</xdr:rowOff>
    </xdr:from>
    <xdr:to>
      <xdr:col>1</xdr:col>
      <xdr:colOff>422910</xdr:colOff>
      <xdr:row>40</xdr:row>
      <xdr:rowOff>458470</xdr:rowOff>
    </xdr:to>
    <xdr:pic>
      <xdr:nvPicPr>
        <xdr:cNvPr id="36" name="ID_29F23C634CA641A4A65823FF7CE328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3420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46</xdr:row>
      <xdr:rowOff>179705</xdr:rowOff>
    </xdr:from>
    <xdr:to>
      <xdr:col>1</xdr:col>
      <xdr:colOff>422910</xdr:colOff>
      <xdr:row>46</xdr:row>
      <xdr:rowOff>458470</xdr:rowOff>
    </xdr:to>
    <xdr:pic>
      <xdr:nvPicPr>
        <xdr:cNvPr id="37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6913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66</xdr:row>
      <xdr:rowOff>179705</xdr:rowOff>
    </xdr:from>
    <xdr:to>
      <xdr:col>1</xdr:col>
      <xdr:colOff>422910</xdr:colOff>
      <xdr:row>66</xdr:row>
      <xdr:rowOff>458470</xdr:rowOff>
    </xdr:to>
    <xdr:pic>
      <xdr:nvPicPr>
        <xdr:cNvPr id="38" name="ID_CDDA136A93BB48408BA367560570B1B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929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70</xdr:row>
      <xdr:rowOff>179705</xdr:rowOff>
    </xdr:from>
    <xdr:to>
      <xdr:col>1</xdr:col>
      <xdr:colOff>422910</xdr:colOff>
      <xdr:row>70</xdr:row>
      <xdr:rowOff>458470</xdr:rowOff>
    </xdr:to>
    <xdr:pic>
      <xdr:nvPicPr>
        <xdr:cNvPr id="39" name="ID_30D2AFCD5F9E465780E70A3F3F60FAE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1518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73</xdr:row>
      <xdr:rowOff>179705</xdr:rowOff>
    </xdr:from>
    <xdr:to>
      <xdr:col>1</xdr:col>
      <xdr:colOff>422910</xdr:colOff>
      <xdr:row>73</xdr:row>
      <xdr:rowOff>458470</xdr:rowOff>
    </xdr:to>
    <xdr:pic>
      <xdr:nvPicPr>
        <xdr:cNvPr id="40" name="ID_C642D658E328452A818E7496D7474C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3423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80</xdr:row>
      <xdr:rowOff>179705</xdr:rowOff>
    </xdr:from>
    <xdr:to>
      <xdr:col>1</xdr:col>
      <xdr:colOff>422910</xdr:colOff>
      <xdr:row>80</xdr:row>
      <xdr:rowOff>458470</xdr:rowOff>
    </xdr:to>
    <xdr:pic>
      <xdr:nvPicPr>
        <xdr:cNvPr id="42" name="ID_650F7837329343EB8C7FF7C17DDD10C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7550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86</xdr:row>
      <xdr:rowOff>179705</xdr:rowOff>
    </xdr:from>
    <xdr:to>
      <xdr:col>1</xdr:col>
      <xdr:colOff>422910</xdr:colOff>
      <xdr:row>86</xdr:row>
      <xdr:rowOff>458470</xdr:rowOff>
    </xdr:to>
    <xdr:pic>
      <xdr:nvPicPr>
        <xdr:cNvPr id="43" name="ID_35099F6A0A464BA8AB9B0CDA9603567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1043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88</xdr:row>
      <xdr:rowOff>179705</xdr:rowOff>
    </xdr:from>
    <xdr:to>
      <xdr:col>1</xdr:col>
      <xdr:colOff>422910</xdr:colOff>
      <xdr:row>88</xdr:row>
      <xdr:rowOff>458470</xdr:rowOff>
    </xdr:to>
    <xdr:pic>
      <xdr:nvPicPr>
        <xdr:cNvPr id="44" name="ID_A5BA2021651348088CAF1B49573CB6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2313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102</xdr:row>
      <xdr:rowOff>179705</xdr:rowOff>
    </xdr:from>
    <xdr:to>
      <xdr:col>1</xdr:col>
      <xdr:colOff>422910</xdr:colOff>
      <xdr:row>102</xdr:row>
      <xdr:rowOff>458470</xdr:rowOff>
    </xdr:to>
    <xdr:pic>
      <xdr:nvPicPr>
        <xdr:cNvPr id="45" name="ID_3195B225C3FE4610BF72452EB3B7C7C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6088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9</xdr:row>
      <xdr:rowOff>179705</xdr:rowOff>
    </xdr:from>
    <xdr:to>
      <xdr:col>1</xdr:col>
      <xdr:colOff>422910</xdr:colOff>
      <xdr:row>9</xdr:row>
      <xdr:rowOff>458470</xdr:rowOff>
    </xdr:to>
    <xdr:pic>
      <xdr:nvPicPr>
        <xdr:cNvPr id="4" name="ID_37A3B3B4FE9545429911C474F1A180A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00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33</xdr:row>
      <xdr:rowOff>179705</xdr:rowOff>
    </xdr:from>
    <xdr:to>
      <xdr:col>1</xdr:col>
      <xdr:colOff>422910</xdr:colOff>
      <xdr:row>33</xdr:row>
      <xdr:rowOff>458470</xdr:rowOff>
    </xdr:to>
    <xdr:pic>
      <xdr:nvPicPr>
        <xdr:cNvPr id="5" name="ID_0B758508829F46F08E7474C858BDB2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9293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35</xdr:row>
      <xdr:rowOff>179705</xdr:rowOff>
    </xdr:from>
    <xdr:to>
      <xdr:col>1</xdr:col>
      <xdr:colOff>422910</xdr:colOff>
      <xdr:row>35</xdr:row>
      <xdr:rowOff>458470</xdr:rowOff>
    </xdr:to>
    <xdr:pic>
      <xdr:nvPicPr>
        <xdr:cNvPr id="6" name="ID_0B758508829F46F08E7474C858BDB2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0563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49</xdr:row>
      <xdr:rowOff>179705</xdr:rowOff>
    </xdr:from>
    <xdr:to>
      <xdr:col>1</xdr:col>
      <xdr:colOff>422910</xdr:colOff>
      <xdr:row>49</xdr:row>
      <xdr:rowOff>458470</xdr:rowOff>
    </xdr:to>
    <xdr:pic>
      <xdr:nvPicPr>
        <xdr:cNvPr id="7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8818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51</xdr:row>
      <xdr:rowOff>179705</xdr:rowOff>
    </xdr:from>
    <xdr:to>
      <xdr:col>1</xdr:col>
      <xdr:colOff>422910</xdr:colOff>
      <xdr:row>51</xdr:row>
      <xdr:rowOff>458470</xdr:rowOff>
    </xdr:to>
    <xdr:pic>
      <xdr:nvPicPr>
        <xdr:cNvPr id="8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0088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72</xdr:row>
      <xdr:rowOff>179705</xdr:rowOff>
    </xdr:from>
    <xdr:to>
      <xdr:col>1</xdr:col>
      <xdr:colOff>422910</xdr:colOff>
      <xdr:row>72</xdr:row>
      <xdr:rowOff>458470</xdr:rowOff>
    </xdr:to>
    <xdr:pic>
      <xdr:nvPicPr>
        <xdr:cNvPr id="10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2788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43</xdr:row>
      <xdr:rowOff>179705</xdr:rowOff>
    </xdr:from>
    <xdr:to>
      <xdr:col>1</xdr:col>
      <xdr:colOff>422910</xdr:colOff>
      <xdr:row>43</xdr:row>
      <xdr:rowOff>458470</xdr:rowOff>
    </xdr:to>
    <xdr:pic>
      <xdr:nvPicPr>
        <xdr:cNvPr id="11" name="ID_29F23C634CA641A4A65823FF7CE328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532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92</xdr:row>
      <xdr:rowOff>179705</xdr:rowOff>
    </xdr:from>
    <xdr:to>
      <xdr:col>1</xdr:col>
      <xdr:colOff>422910</xdr:colOff>
      <xdr:row>92</xdr:row>
      <xdr:rowOff>458470</xdr:rowOff>
    </xdr:to>
    <xdr:pic>
      <xdr:nvPicPr>
        <xdr:cNvPr id="12" name="ID_650F7837329343EB8C7FF7C17DDD10C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4853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95</xdr:row>
      <xdr:rowOff>179705</xdr:rowOff>
    </xdr:from>
    <xdr:to>
      <xdr:col>1</xdr:col>
      <xdr:colOff>422910</xdr:colOff>
      <xdr:row>95</xdr:row>
      <xdr:rowOff>458470</xdr:rowOff>
    </xdr:to>
    <xdr:pic>
      <xdr:nvPicPr>
        <xdr:cNvPr id="13" name="ID_A5BA2021651348088CAF1B49573CB6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6758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48</xdr:row>
      <xdr:rowOff>179705</xdr:rowOff>
    </xdr:from>
    <xdr:to>
      <xdr:col>1</xdr:col>
      <xdr:colOff>422910</xdr:colOff>
      <xdr:row>48</xdr:row>
      <xdr:rowOff>458470</xdr:rowOff>
    </xdr:to>
    <xdr:pic>
      <xdr:nvPicPr>
        <xdr:cNvPr id="14" name="ID_D2CC716FAC5A4934A506A9D62044EBE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8183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53</xdr:row>
      <xdr:rowOff>179705</xdr:rowOff>
    </xdr:from>
    <xdr:to>
      <xdr:col>1</xdr:col>
      <xdr:colOff>422910</xdr:colOff>
      <xdr:row>53</xdr:row>
      <xdr:rowOff>458470</xdr:rowOff>
    </xdr:to>
    <xdr:pic>
      <xdr:nvPicPr>
        <xdr:cNvPr id="15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1358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29</xdr:row>
      <xdr:rowOff>179705</xdr:rowOff>
    </xdr:from>
    <xdr:to>
      <xdr:col>1</xdr:col>
      <xdr:colOff>422910</xdr:colOff>
      <xdr:row>29</xdr:row>
      <xdr:rowOff>458470</xdr:rowOff>
    </xdr:to>
    <xdr:pic>
      <xdr:nvPicPr>
        <xdr:cNvPr id="2" name="ID_D5596842A5B24202BBB690D3DA0060E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7070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31</xdr:row>
      <xdr:rowOff>179705</xdr:rowOff>
    </xdr:from>
    <xdr:to>
      <xdr:col>1</xdr:col>
      <xdr:colOff>422910</xdr:colOff>
      <xdr:row>31</xdr:row>
      <xdr:rowOff>458470</xdr:rowOff>
    </xdr:to>
    <xdr:pic>
      <xdr:nvPicPr>
        <xdr:cNvPr id="9" name="ID_16C51E1BFFA342A88A5D5E82A0E288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8340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30</xdr:row>
      <xdr:rowOff>179705</xdr:rowOff>
    </xdr:from>
    <xdr:to>
      <xdr:col>1</xdr:col>
      <xdr:colOff>422910</xdr:colOff>
      <xdr:row>30</xdr:row>
      <xdr:rowOff>458470</xdr:rowOff>
    </xdr:to>
    <xdr:pic>
      <xdr:nvPicPr>
        <xdr:cNvPr id="16" name="ID_16C51E1BFFA342A88A5D5E82A0E288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770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494665</xdr:colOff>
      <xdr:row>0</xdr:row>
      <xdr:rowOff>553085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3</xdr:col>
      <xdr:colOff>295910</xdr:colOff>
      <xdr:row>0</xdr:row>
      <xdr:rowOff>562610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223901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 editAs="oneCell">
    <xdr:from>
      <xdr:col>1</xdr:col>
      <xdr:colOff>219710</xdr:colOff>
      <xdr:row>48</xdr:row>
      <xdr:rowOff>117475</xdr:rowOff>
    </xdr:from>
    <xdr:to>
      <xdr:col>1</xdr:col>
      <xdr:colOff>475615</xdr:colOff>
      <xdr:row>48</xdr:row>
      <xdr:rowOff>396240</xdr:rowOff>
    </xdr:to>
    <xdr:pic>
      <xdr:nvPicPr>
        <xdr:cNvPr id="120" name="ID_02722239663A4A4C97ABC1B728BB02B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5510" y="23802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51</xdr:row>
      <xdr:rowOff>117475</xdr:rowOff>
    </xdr:from>
    <xdr:to>
      <xdr:col>1</xdr:col>
      <xdr:colOff>475615</xdr:colOff>
      <xdr:row>51</xdr:row>
      <xdr:rowOff>396240</xdr:rowOff>
    </xdr:to>
    <xdr:pic>
      <xdr:nvPicPr>
        <xdr:cNvPr id="119" name="ID_BF74014554044A5099E3DE6A86BB9C1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5510" y="25136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52</xdr:row>
      <xdr:rowOff>117475</xdr:rowOff>
    </xdr:from>
    <xdr:to>
      <xdr:col>1</xdr:col>
      <xdr:colOff>475615</xdr:colOff>
      <xdr:row>52</xdr:row>
      <xdr:rowOff>396240</xdr:rowOff>
    </xdr:to>
    <xdr:pic>
      <xdr:nvPicPr>
        <xdr:cNvPr id="3" name="ID_1350EFC501C94FAB865693F914AF237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5510" y="25644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38</xdr:row>
      <xdr:rowOff>117475</xdr:rowOff>
    </xdr:from>
    <xdr:to>
      <xdr:col>1</xdr:col>
      <xdr:colOff>475615</xdr:colOff>
      <xdr:row>38</xdr:row>
      <xdr:rowOff>396240</xdr:rowOff>
    </xdr:to>
    <xdr:pic>
      <xdr:nvPicPr>
        <xdr:cNvPr id="127" name="ID_5442BE1DBCCE46B39F6E80E5B9CFDA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5510" y="18913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16</xdr:row>
      <xdr:rowOff>117475</xdr:rowOff>
    </xdr:from>
    <xdr:to>
      <xdr:col>1</xdr:col>
      <xdr:colOff>475615</xdr:colOff>
      <xdr:row>16</xdr:row>
      <xdr:rowOff>396240</xdr:rowOff>
    </xdr:to>
    <xdr:pic>
      <xdr:nvPicPr>
        <xdr:cNvPr id="126" name="ID_324C916832F04C65ACABDEA3D89BC80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5510" y="7927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6</xdr:row>
      <xdr:rowOff>117475</xdr:rowOff>
    </xdr:from>
    <xdr:to>
      <xdr:col>1</xdr:col>
      <xdr:colOff>475615</xdr:colOff>
      <xdr:row>6</xdr:row>
      <xdr:rowOff>396240</xdr:rowOff>
    </xdr:to>
    <xdr:pic>
      <xdr:nvPicPr>
        <xdr:cNvPr id="121" name="ID_A910353D75424AD1BFB18BF2C9C2D9D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5510" y="3038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7</xdr:row>
      <xdr:rowOff>117475</xdr:rowOff>
    </xdr:from>
    <xdr:to>
      <xdr:col>1</xdr:col>
      <xdr:colOff>475615</xdr:colOff>
      <xdr:row>7</xdr:row>
      <xdr:rowOff>396240</xdr:rowOff>
    </xdr:to>
    <xdr:pic>
      <xdr:nvPicPr>
        <xdr:cNvPr id="122" name="ID_71BA189D813F416DAD708A449E2E211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5510" y="3546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9</xdr:row>
      <xdr:rowOff>117475</xdr:rowOff>
    </xdr:from>
    <xdr:to>
      <xdr:col>1</xdr:col>
      <xdr:colOff>475615</xdr:colOff>
      <xdr:row>9</xdr:row>
      <xdr:rowOff>396240</xdr:rowOff>
    </xdr:to>
    <xdr:pic>
      <xdr:nvPicPr>
        <xdr:cNvPr id="123" name="ID_6A5E39EC182A4FF7868A1AF7010E43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5510" y="4562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15</xdr:row>
      <xdr:rowOff>117475</xdr:rowOff>
    </xdr:from>
    <xdr:to>
      <xdr:col>1</xdr:col>
      <xdr:colOff>475615</xdr:colOff>
      <xdr:row>15</xdr:row>
      <xdr:rowOff>396240</xdr:rowOff>
    </xdr:to>
    <xdr:pic>
      <xdr:nvPicPr>
        <xdr:cNvPr id="2" name="ID_494902C7F96C4EBEA4F96FD713D059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5510" y="7419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20</xdr:row>
      <xdr:rowOff>117475</xdr:rowOff>
    </xdr:from>
    <xdr:to>
      <xdr:col>1</xdr:col>
      <xdr:colOff>475615</xdr:colOff>
      <xdr:row>20</xdr:row>
      <xdr:rowOff>396240</xdr:rowOff>
    </xdr:to>
    <xdr:pic>
      <xdr:nvPicPr>
        <xdr:cNvPr id="4" name="ID_324C916832F04C65ACABDEA3D89BC80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5510" y="9959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4</xdr:row>
      <xdr:rowOff>117475</xdr:rowOff>
    </xdr:from>
    <xdr:to>
      <xdr:col>1</xdr:col>
      <xdr:colOff>475615</xdr:colOff>
      <xdr:row>4</xdr:row>
      <xdr:rowOff>396240</xdr:rowOff>
    </xdr:to>
    <xdr:pic>
      <xdr:nvPicPr>
        <xdr:cNvPr id="5" name="ID_71BA189D813F416DAD708A449E2E211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5510" y="2212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391160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391160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372745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867410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403860</xdr:colOff>
      <xdr:row>0</xdr:row>
      <xdr:rowOff>553085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hyperlink" Target="https://www.xingtu.cn/ad/creator/author-homepage/douyin-video/6629127176400666631?market_track_id=N70MFCTDKM9P7OANQPMW&amp;search_session_id=7506419022990000191&amp;video_type=2&amp;_route_from=from_page%3DMarket%26search_session_id%3D7506419022990000191%26is_for_order%3D1%26market_track_id%3DN70MFCTDKM9P7OANQPMW%26platform_source%3D1%26key%3D%25E5%25A4%258F77%25F0%259F%259F%25A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8" Type="http://schemas.openxmlformats.org/officeDocument/2006/relationships/hyperlink" Target="https://www.xingtu.cn/ad/creator/author-homepage/douyin-video/6816605527640899598?market_track_id=T4VYPHWIK0LQXBFN71SP&amp;search_session_id=7506415324775596095&amp;video_type=2&amp;_route_from=from_page%3DMarket%26search_session_id%3D7506415324775596095%26is_for_order%3D1%26market_track_id%3DT4VYPHWIK0LQXBFN71SP%26platform_source%3D1%26key%3D%25E7%2599%25BD%25E8%2580%2581%25E5%25B8%2588%25E5%25B0%25B1%25E6%2598%25AF%25E7%2599%25BD%25E8%2580%2581%25E5%25B8%2588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97" Type="http://schemas.openxmlformats.org/officeDocument/2006/relationships/hyperlink" Target="https://www.xingtu.cn/ad/creator/author-homepage/douyin-video/6949818439837941797?market_track_id=9OPR4JK5A7HVRUI77UJN&amp;search_session_id=7506418791321731126&amp;video_type=2&amp;_route_from=from_page%3DMarket%26search_session_id%3D7506418791321731126%26is_for_order%3D1%26market_track_id%3D9OPR4JK5A7HVRUI77UJN%26platform_source%3D1%26key%3D%25E6%259E%2581%25E9%2580%259F%25E9%25A9%25AC%25E5%258A%259Bpart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6" Type="http://schemas.openxmlformats.org/officeDocument/2006/relationships/hyperlink" Target="https://www.xingtu.cn/ad/creator/author-homepage/douyin-video/6810323760353116173?market_track_id=IA07VR1GJP47ACCZYL53&amp;search_session_id=7506418842764410892&amp;video_type=2&amp;_route_from=from_page%3DMarket%26search_session_id%3D7506418842764410892%26is_for_order%3D1%26market_track_id%3DIA07VR1GJP47ACCZYL53%26platform_source%3D1%26key%3D%25E6%259D%258E%25E4%25BA%258C%25E7%258B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5" Type="http://schemas.openxmlformats.org/officeDocument/2006/relationships/hyperlink" Target="https://www.xingtu.cn/ad/creator/author-homepage/douyin-video/6862212139365433351?market_track_id=JXOUKGOXRY4JAFGRHUQG&amp;search_session_id=7506418242886713356&amp;video_type=2&amp;_route_from=from_page%3DMarket%26search_session_id%3D7506418242886713356%26is_for_order%3D1%26market_track_id%3DJXOUKGOXRY4JAFGRHUQG%26platform_source%3D1%26key%3D%25E9%259D%2596%25E9%259B%2585%25E6%25AC%25A7%25E5%25B7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4" Type="http://schemas.openxmlformats.org/officeDocument/2006/relationships/hyperlink" Target="https://www.xingtu.cn/ad/creator/author-homepage/douyin-video/6740393506990194696?market_track_id=DRKK9SM8L3131BHUIM88&amp;search_session_id=7506417872022700043&amp;video_type=2&amp;_route_from=from_page%3DMarket%26search_session_id%3D7506417872022700043%26is_for_order%3D1%26market_track_id%3DDRKK9SM8L3131BHUIM88%26platform_source%3D1%26key%3D%25E8%2583%2596%25E5%2598%259F%25E5%2598%259F%25E7%259A%2584%25E5%2598%259F%25E5%2598%259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3" Type="http://schemas.openxmlformats.org/officeDocument/2006/relationships/hyperlink" Target="https://www.xingtu.cn/ad/creator/author-homepage/douyin-video/6870159698314657800?market_track_id=M6JS4GY2JCQA979V3KAD&amp;search_session_id=7506417872022290443&amp;video_type=2&amp;_route_from=from_page%3DMarket%26search_session_id%3D7506417872022290443%26is_for_order%3D1%26market_track_id%3DM6JS4GY2JCQA979V3KAD%26platform_source%3D1%26key%3D%25E5%25A9%25B5%25E5%25A9%25B5%25E8%25AF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2" Type="http://schemas.openxmlformats.org/officeDocument/2006/relationships/hyperlink" Target="https://www.xingtu.cn/ad/creator/author-homepage/douyin-video/6972449205344272397?market_track_id=12F1X1FVTARAS8ZLYBSV&amp;search_session_id=7506417675443978303&amp;video_type=2&amp;_route_from=from_page%3DMarket%26search_session_id%3D7506417675443978303%26is_for_order%3D1%26market_track_id%3D12F1X1FVTARAS8ZLYBSV%26platform_source%3D1%26key%3D%25E5%25A4%25A7%25E9%25BB%2584h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1" Type="http://schemas.openxmlformats.org/officeDocument/2006/relationships/hyperlink" Target="https://www.xingtu.cn/ad/creator/author-homepage/douyin-video/6969058840033624100?market_track_id=HO4R075KN87AMKT91EZI&amp;search_session_id=7506417746180341771&amp;video_type=2&amp;_route_from=from_page%3DMarket%26search_session_id%3D7506417746180341771%26is_for_order%3D1%26market_track_id%3DHO4R075KN87AMKT91EZI%26platform_source%3D1%26key%3D%25E5%2591%25A8%25E4%25B8%2589%25E6%258B%25B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0" Type="http://schemas.openxmlformats.org/officeDocument/2006/relationships/hyperlink" Target="https://www.xingtu.cn/ad/creator/author-homepage/douyin-video/7088976987129118750?market_track_id=PKJYMCMSCNCDLLT2NLC8&amp;search_session_id=7506417544229322771&amp;video_type=2&amp;_route_from=from_page%3DMarket%26search_session_id%3D7506417544229322771%26is_for_order%3D1%26market_track_id%3DPKJYMCMSCNCDLLT2NLC8%26platform_source%3D1%26key%3D%25E6%2597%25A0%25E7%25B3%2596%25E5%25A5%25B6%25E8%258C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" Type="http://schemas.openxmlformats.org/officeDocument/2006/relationships/hyperlink" Target="https://v.douyin.com/8bbdWJN/" TargetMode="External"/><Relationship Id="rId89" Type="http://schemas.openxmlformats.org/officeDocument/2006/relationships/hyperlink" Target="https://www.xingtu.cn/ad/creator/author-homepage/douyin-video/6901242939247181837?market_track_id=3NJRXSI18EDC89GFPWSA&amp;search_session_id=7506417328482517003&amp;video_type=2&amp;_route_from=from_page%3DMarket%26search_session_id%3D7506417328482517003%26is_for_order%3D1%26market_track_id%3D3NJRXSI18EDC89GFPWSA%26platform_source%3D1%26key%3D%25E5%258A%25A0%25E8%258F%25B2%25E8%258F%25A1z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8" Type="http://schemas.openxmlformats.org/officeDocument/2006/relationships/hyperlink" Target="https://www.xingtu.cn/ad/creator/author-homepage/douyin-video/6701875533669466123?market_track_id=Y0AJ09JJPQMI0X9YE9AH&amp;search_session_id=7506416770640199721&amp;video_type=2&amp;_route_from=from_page%3DMarket%26search_session_id%3D7506416770640199721%26is_for_order%3D1%26market_track_id%3DY0AJ09JJPQMI0X9YE9AH%26platform_source%3D1%26key%3D%25E5%25BD%25A6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7" Type="http://schemas.openxmlformats.org/officeDocument/2006/relationships/hyperlink" Target="https://www.xingtu.cn/ad/creator/author-homepage/douyin-video/6746573383141425164?market_track_id=IQF8MKDF0SBPY8SY7L1R&amp;search_session_id=7506414821974310953&amp;video_type=2&amp;_route_from=from_page%3DMarket%26search_session_id%3D7506414821974310953%26is_for_order%3D1%26market_track_id%3DIQF8MKDF0SBPY8SY7L1R%26platform_source%3D1%26key%3D%25E8%25A5%25BF%25E7%2593%259C%25E5%25A5%2587%25E5%25B9%25BB%25E5%25B7%25A5%25E5%258E%2582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86" Type="http://schemas.openxmlformats.org/officeDocument/2006/relationships/hyperlink" Target="https://www.xingtu.cn/ad/creator/author-homepage/douyin-video/6639507729494835203?market_track_id=S08FD099W7OEDKAWYKAC&amp;search_session_id=7506416438765666323&amp;video_type=2&amp;_route_from=from_page%3DMarket%26search_session_id%3D7506416438765666323%26is_for_order%3D1%26market_track_id%3DS08FD099W7OEDKAWYKAC%26platform_source%3D1%26key%3D%25E9%259F%25A6%25E5%25BA%25B7vico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5" Type="http://schemas.openxmlformats.org/officeDocument/2006/relationships/hyperlink" Target="https://www.xingtu.cn/ad/creator/author-homepage/douyin-video/7078614603908317197?market_track_id=1YSRQNKR4S0KIKU5Y91R&amp;search_session_id=7506416249376358439&amp;video_type=2&amp;_route_from=from_page%3DMarket%26search_session_id%3D7506416249376358439%26is_for_order%3D1%26market_track_id%3D1YSRQNKR4S0KIKU5Y91R%26platform_source%3D1%26key%3D%25E6%259C%25B1%25E9%2593%2581%25E9%259B%258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4" Type="http://schemas.openxmlformats.org/officeDocument/2006/relationships/hyperlink" Target="https://www.xingtu.cn/ad/creator/author-homepage/douyin-video/6984651683640901662?market_track_id=L7P4GANMST0846PF62J0&amp;search_session_id=7506419875221504011&amp;video_type=2&amp;_route_from=from_page%3DMarket%26search_session_id%3D7506419875221504011%26is_for_order%3D1%26market_track_id%3DL7P4GANMST0846PF62J0%26platform_source%3D1%26key%3D%25E9%25B9%25BF%25E5%2584%25BFer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3" Type="http://schemas.openxmlformats.org/officeDocument/2006/relationships/hyperlink" Target="https://v.douyin.com/iLnMvpHr/" TargetMode="External"/><Relationship Id="rId82" Type="http://schemas.openxmlformats.org/officeDocument/2006/relationships/hyperlink" Target="https://v.douyin.com/iJPnedXN/" TargetMode="External"/><Relationship Id="rId81" Type="http://schemas.openxmlformats.org/officeDocument/2006/relationships/hyperlink" Target="https://v.douyin.com/iJPnXVxk/" TargetMode="External"/><Relationship Id="rId80" Type="http://schemas.openxmlformats.org/officeDocument/2006/relationships/hyperlink" Target="https://v.douyin.com/ieJE8VSW/" TargetMode="External"/><Relationship Id="rId8" Type="http://schemas.openxmlformats.org/officeDocument/2006/relationships/hyperlink" Target="https://v.douyin.com/eCcKy1K/" TargetMode="External"/><Relationship Id="rId79" Type="http://schemas.openxmlformats.org/officeDocument/2006/relationships/hyperlink" Target="https://v.douyin.com/iSSP2279/ 2@2.com" TargetMode="External"/><Relationship Id="rId78" Type="http://schemas.openxmlformats.org/officeDocument/2006/relationships/hyperlink" Target="https://v.douyin.com/i5boShFY/" TargetMode="External"/><Relationship Id="rId77" Type="http://schemas.openxmlformats.org/officeDocument/2006/relationships/hyperlink" Target="https://v.douyin.com/iN7QSUQs/" TargetMode="External"/><Relationship Id="rId76" Type="http://schemas.openxmlformats.org/officeDocument/2006/relationships/hyperlink" Target="https://v.douyin.com/hVkL42J/" TargetMode="External"/><Relationship Id="rId75" Type="http://schemas.openxmlformats.org/officeDocument/2006/relationships/hyperlink" Target="https://v.douyin.com/_lMUnKhZ_vE/" TargetMode="External"/><Relationship Id="rId74" Type="http://schemas.openxmlformats.org/officeDocument/2006/relationships/hyperlink" Target="https://v.douyin.com/l48-W0BWH2c/" TargetMode="External"/><Relationship Id="rId73" Type="http://schemas.openxmlformats.org/officeDocument/2006/relationships/hyperlink" Target="https://v.douyin.com/D2Syf86/" TargetMode="External"/><Relationship Id="rId72" Type="http://schemas.openxmlformats.org/officeDocument/2006/relationships/hyperlink" Target="https://v.douyin.com/SHRaGVS/" TargetMode="External"/><Relationship Id="rId71" Type="http://schemas.openxmlformats.org/officeDocument/2006/relationships/hyperlink" Target="https://v.douyin.com/rXkgpu2/" TargetMode="External"/><Relationship Id="rId70" Type="http://schemas.openxmlformats.org/officeDocument/2006/relationships/hyperlink" Target="https://v.douyin.com/i5WxXkUV/" TargetMode="External"/><Relationship Id="rId7" Type="http://schemas.openxmlformats.org/officeDocument/2006/relationships/hyperlink" Target="https://v.douyin.com/JCK38Tm/" TargetMode="External"/><Relationship Id="rId69" Type="http://schemas.openxmlformats.org/officeDocument/2006/relationships/hyperlink" Target="https://v.douyin.com/dHJh1Q1/" TargetMode="External"/><Relationship Id="rId68" Type="http://schemas.openxmlformats.org/officeDocument/2006/relationships/hyperlink" Target="https://v.douyin.com/iDDrdfwC/ 9@0.com" TargetMode="External"/><Relationship Id="rId67" Type="http://schemas.openxmlformats.org/officeDocument/2006/relationships/hyperlink" Target="https://v.douyin.com/iyQ6npBH/" TargetMode="External"/><Relationship Id="rId66" Type="http://schemas.openxmlformats.org/officeDocument/2006/relationships/hyperlink" Target="https://v.douyin.com/iy5xpGEA/" TargetMode="External"/><Relationship Id="rId65" Type="http://schemas.openxmlformats.org/officeDocument/2006/relationships/hyperlink" Target="https://v.douyin.com/iYBa8VBc/" TargetMode="External"/><Relationship Id="rId64" Type="http://schemas.openxmlformats.org/officeDocument/2006/relationships/hyperlink" Target="https://v.douyin.com/RNPgvkV/" TargetMode="External"/><Relationship Id="rId63" Type="http://schemas.openxmlformats.org/officeDocument/2006/relationships/hyperlink" Target="https://v.douyin.com/FSHKXaa/" TargetMode="External"/><Relationship Id="rId62" Type="http://schemas.openxmlformats.org/officeDocument/2006/relationships/hyperlink" Target="https://v.douyin.com/iUU8cHHq/" TargetMode="External"/><Relationship Id="rId61" Type="http://schemas.openxmlformats.org/officeDocument/2006/relationships/hyperlink" Target="https://v.douyin.com/iDDUXSLj/ 9@1.com :2pm" TargetMode="External"/><Relationship Id="rId60" Type="http://schemas.openxmlformats.org/officeDocument/2006/relationships/hyperlink" Target="https://v.douyin.com/iDDaWpJE/ 8@1.com :1pm" TargetMode="External"/><Relationship Id="rId6" Type="http://schemas.openxmlformats.org/officeDocument/2006/relationships/hyperlink" Target="https://v.douyin.com/En7hpe/" TargetMode="External"/><Relationship Id="rId59" Type="http://schemas.openxmlformats.org/officeDocument/2006/relationships/hyperlink" Target="https://v.douyin.com/24q2eQN/" TargetMode="External"/><Relationship Id="rId58" Type="http://schemas.openxmlformats.org/officeDocument/2006/relationships/hyperlink" Target="https://v.douyin.com/iBXmyyq9/ 3@3.com" TargetMode="External"/><Relationship Id="rId57" Type="http://schemas.openxmlformats.org/officeDocument/2006/relationships/hyperlink" Target="https://v.douyin.com/ikHJhdsd/ 5@0.com" TargetMode="External"/><Relationship Id="rId56" Type="http://schemas.openxmlformats.org/officeDocument/2006/relationships/hyperlink" Target="https://v.douyin.com/ihLfY4my/ 1@8.com" TargetMode="External"/><Relationship Id="rId55" Type="http://schemas.openxmlformats.org/officeDocument/2006/relationships/hyperlink" Target="https://v.douyin.com/ihY3Bnto/ 3@1.com" TargetMode="External"/><Relationship Id="rId54" Type="http://schemas.openxmlformats.org/officeDocument/2006/relationships/hyperlink" Target="https://v.douyin.com/iMskdSfA/" TargetMode="External"/><Relationship Id="rId53" Type="http://schemas.openxmlformats.org/officeDocument/2006/relationships/hyperlink" Target="https://v.douyin.com/ik1j1xge/ 9@3.com" TargetMode="External"/><Relationship Id="rId52" Type="http://schemas.openxmlformats.org/officeDocument/2006/relationships/hyperlink" Target="https://v.douyin.com/rFQ1mYB/" TargetMode="External"/><Relationship Id="rId51" Type="http://schemas.openxmlformats.org/officeDocument/2006/relationships/hyperlink" Target="https://v.douyin.com/iM2BnUWc/" TargetMode="External"/><Relationship Id="rId50" Type="http://schemas.openxmlformats.org/officeDocument/2006/relationships/hyperlink" Target="https://v.douyin.com/iM2Se3jJ/" TargetMode="External"/><Relationship Id="rId5" Type="http://schemas.openxmlformats.org/officeDocument/2006/relationships/hyperlink" Target="https://v.douyin.com/JGoHUQ1/" TargetMode="External"/><Relationship Id="rId49" Type="http://schemas.openxmlformats.org/officeDocument/2006/relationships/hyperlink" Target="https://v.douyin.com/i6jrprmo/ 5@2.com" TargetMode="External"/><Relationship Id="rId48" Type="http://schemas.openxmlformats.org/officeDocument/2006/relationships/hyperlink" Target="https://v.douyin.com/i2H5qaFs/" TargetMode="External"/><Relationship Id="rId47" Type="http://schemas.openxmlformats.org/officeDocument/2006/relationships/hyperlink" Target="https://v.douyin.com/iY85x94D/" TargetMode="External"/><Relationship Id="rId46" Type="http://schemas.openxmlformats.org/officeDocument/2006/relationships/hyperlink" Target="https://v.douyin.com/ijjdY42F/" TargetMode="External"/><Relationship Id="rId45" Type="http://schemas.openxmlformats.org/officeDocument/2006/relationships/hyperlink" Target="https://v.douyin.com/ijAbtYL4/" TargetMode="External"/><Relationship Id="rId44" Type="http://schemas.openxmlformats.org/officeDocument/2006/relationships/hyperlink" Target="https://v.douyin.com/FSgqeNj/" TargetMode="External"/><Relationship Id="rId43" Type="http://schemas.openxmlformats.org/officeDocument/2006/relationships/hyperlink" Target="https://v.douyin.com/8Y1YhAe/" TargetMode="External"/><Relationship Id="rId42" Type="http://schemas.openxmlformats.org/officeDocument/2006/relationships/hyperlink" Target="https://v.douyin.com/eC3yEYf/" TargetMode="External"/><Relationship Id="rId41" Type="http://schemas.openxmlformats.org/officeDocument/2006/relationships/hyperlink" Target="https://v.douyin.com/iLnrNjSN/" TargetMode="External"/><Relationship Id="rId40" Type="http://schemas.openxmlformats.org/officeDocument/2006/relationships/hyperlink" Target="https://v.douyin.com/iLb8hLmv/" TargetMode="External"/><Relationship Id="rId4" Type="http://schemas.openxmlformats.org/officeDocument/2006/relationships/hyperlink" Target="https://v.douyin.com/EngtHX/" TargetMode="External"/><Relationship Id="rId39" Type="http://schemas.openxmlformats.org/officeDocument/2006/relationships/hyperlink" Target="https://v.douyin.com/iRoxMA1u/ 0@8.com" TargetMode="External"/><Relationship Id="rId38" Type="http://schemas.openxmlformats.org/officeDocument/2006/relationships/hyperlink" Target="https://v.douyin.com/iRjb6jSc/" TargetMode="External"/><Relationship Id="rId37" Type="http://schemas.openxmlformats.org/officeDocument/2006/relationships/hyperlink" Target="https://v.douyin.com/idVsSMmU/" TargetMode="External"/><Relationship Id="rId36" Type="http://schemas.openxmlformats.org/officeDocument/2006/relationships/hyperlink" Target="https://v.douyin.com/ieJEk27r/" TargetMode="External"/><Relationship Id="rId35" Type="http://schemas.openxmlformats.org/officeDocument/2006/relationships/hyperlink" Target="https://v.douyin.com/i3omXSR/" TargetMode="External"/><Relationship Id="rId34" Type="http://schemas.openxmlformats.org/officeDocument/2006/relationships/hyperlink" Target="https://v.douyin.com/UYCTfS6/" TargetMode="External"/><Relationship Id="rId33" Type="http://schemas.openxmlformats.org/officeDocument/2006/relationships/hyperlink" Target="https://v.douyin.com/N59HuqG/" TargetMode="External"/><Relationship Id="rId32" Type="http://schemas.openxmlformats.org/officeDocument/2006/relationships/hyperlink" Target="https://v.douyin.com/iJCV86d/" TargetMode="External"/><Relationship Id="rId31" Type="http://schemas.openxmlformats.org/officeDocument/2006/relationships/hyperlink" Target="https://v.douyin.com/U7hrxCa/" TargetMode="External"/><Relationship Id="rId30" Type="http://schemas.openxmlformats.org/officeDocument/2006/relationships/hyperlink" Target="https://v.douyin.com/jcNeW61/" TargetMode="External"/><Relationship Id="rId3" Type="http://schemas.openxmlformats.org/officeDocument/2006/relationships/hyperlink" Target="https://v.douyin.com/NYLLwJm/" TargetMode="External"/><Relationship Id="rId29" Type="http://schemas.openxmlformats.org/officeDocument/2006/relationships/hyperlink" Target="https://v.douyin.com/AEx3WQG/" TargetMode="External"/><Relationship Id="rId28" Type="http://schemas.openxmlformats.org/officeDocument/2006/relationships/hyperlink" Target="https://v.douyin.com/AvYkCxx/" TargetMode="External"/><Relationship Id="rId27" Type="http://schemas.openxmlformats.org/officeDocument/2006/relationships/hyperlink" Target="https://v.douyin.com/SyqNhh3/" TargetMode="External"/><Relationship Id="rId26" Type="http://schemas.openxmlformats.org/officeDocument/2006/relationships/hyperlink" Target="https://v.douyin.com/S2jDbCK/" TargetMode="External"/><Relationship Id="rId25" Type="http://schemas.openxmlformats.org/officeDocument/2006/relationships/hyperlink" Target="https://v.douyin.com/BcRnESq/" TargetMode="External"/><Relationship Id="rId24" Type="http://schemas.openxmlformats.org/officeDocument/2006/relationships/hyperlink" Target="https://v.douyin.com/BNvsvjV/" TargetMode="External"/><Relationship Id="rId23" Type="http://schemas.openxmlformats.org/officeDocument/2006/relationships/hyperlink" Target="https://v.douyin.com/YFDupKa/" TargetMode="External"/><Relationship Id="rId22" Type="http://schemas.openxmlformats.org/officeDocument/2006/relationships/hyperlink" Target="https://v.douyin.com/N7vAXXo/" TargetMode="External"/><Relationship Id="rId21" Type="http://schemas.openxmlformats.org/officeDocument/2006/relationships/hyperlink" Target="https://v.douyin.com/hQeDxNC/" TargetMode="External"/><Relationship Id="rId20" Type="http://schemas.openxmlformats.org/officeDocument/2006/relationships/hyperlink" Target="https://v.douyin.com/rbL8XVL/" TargetMode="External"/><Relationship Id="rId2" Type="http://schemas.openxmlformats.org/officeDocument/2006/relationships/hyperlink" Target="https://v.douyin.com/ee1Ud3N/" TargetMode="External"/><Relationship Id="rId191" Type="http://schemas.openxmlformats.org/officeDocument/2006/relationships/hyperlink" Target="https://v.douyin.com/EYsYmOl35_o/" TargetMode="External"/><Relationship Id="rId190" Type="http://schemas.openxmlformats.org/officeDocument/2006/relationships/hyperlink" Target="https://www.xingtu.cn/ad/creator/author-homepage/douyin-video/6950547741772611621?market_track_id=TNBIOM0X2B5CFEY1M52H&amp;search_session_id=7555809283087810599&amp;possessStarId" TargetMode="External"/><Relationship Id="rId19" Type="http://schemas.openxmlformats.org/officeDocument/2006/relationships/hyperlink" Target="https://v.douyin.com/rVAPr2p/" TargetMode="External"/><Relationship Id="rId189" Type="http://schemas.openxmlformats.org/officeDocument/2006/relationships/hyperlink" Target="https://www.xingtu.cn/ad/creator/author-homepage/douyin-video/6977280720922214431?market_track_id=UG67XTJXH7NXPKDVOMTP&amp;search_session_id=7550213941088239658&amp;possessStarId" TargetMode="External"/><Relationship Id="rId188" Type="http://schemas.openxmlformats.org/officeDocument/2006/relationships/hyperlink" Target="https://www.xingtu.cn/ad/creator/author-homepage/douyin-video/6859218264526962702?market_track_id=ESWOJZ4LL2IDD4QEYDFT&amp;search_session_id=7550213757390864438&amp;possessStarId" TargetMode="External"/><Relationship Id="rId187" Type="http://schemas.openxmlformats.org/officeDocument/2006/relationships/hyperlink" Target="https://v.douyin.com/FmolR1KJook/" TargetMode="External"/><Relationship Id="rId186" Type="http://schemas.openxmlformats.org/officeDocument/2006/relationships/hyperlink" Target="https://v.douyin.com/eXcXMuA/" TargetMode="External"/><Relationship Id="rId185" Type="http://schemas.openxmlformats.org/officeDocument/2006/relationships/hyperlink" Target="https://www.xingtu.cn/ad/creator/author-homepage/douyin-video/6870160411379892231?market_track_id=Q5M20T2PEK2M1R5YASOU&amp;search_session_id=7550219414239985705&amp;possessStarId" TargetMode="External"/><Relationship Id="rId184" Type="http://schemas.openxmlformats.org/officeDocument/2006/relationships/hyperlink" Target="https://v.douyin.com/eNCSeHH/" TargetMode="External"/><Relationship Id="rId183" Type="http://schemas.openxmlformats.org/officeDocument/2006/relationships/hyperlink" Target="https://www.xingtu.cn/ad/creator/author-homepage/douyin-video/7187348189282828322?market_track_id=R423INSAAL9SF4RUDHTZ&amp;search_session_id=7553117274304331812&amp;possessStarId" TargetMode="External"/><Relationship Id="rId182" Type="http://schemas.openxmlformats.org/officeDocument/2006/relationships/hyperlink" Target="https://v.douyin.com/8X9N7CXaq1E/" TargetMode="External"/><Relationship Id="rId181" Type="http://schemas.openxmlformats.org/officeDocument/2006/relationships/hyperlink" Target="https://www.xingtu.cn/ad/creator/author-homepage/douyin-video/6729824086039461891?market_track_id=MR96FF0YLNLMW3T5JZGY&amp;search_session_id=7506415498557505577&amp;video_type=2&amp;_route_from=from_page%3DMarket%26search_session_id%3D7506415498557505577%26is_for_order%3D1%26market_track_id%3DMR96FF0YLNLMW3T5JZGY%26platform_source%3D1%26key%3D%25E7%259A%25AE%25E5%258D%25A1%25E7%2599%25BD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180" Type="http://schemas.openxmlformats.org/officeDocument/2006/relationships/hyperlink" Target="https://v.douyin.com/YVnZ2nB_6tQ/ 9@0.com" TargetMode="External"/><Relationship Id="rId18" Type="http://schemas.openxmlformats.org/officeDocument/2006/relationships/hyperlink" Target="https://v.douyin.com/rNwDm9W/" TargetMode="External"/><Relationship Id="rId179" Type="http://schemas.openxmlformats.org/officeDocument/2006/relationships/hyperlink" Target="https://www.xingtu.cn/ad/creator/author-homepage/douyin-video/7218220304135356471?market_track_id=T1HSWBAEXMH98GSH6MPV&amp;search_session_id=7550226290448875556&amp;possessStarId" TargetMode="External"/><Relationship Id="rId178" Type="http://schemas.openxmlformats.org/officeDocument/2006/relationships/hyperlink" Target="https://v.douyin.com/l9yMFgFF4Ic/" TargetMode="External"/><Relationship Id="rId177" Type="http://schemas.openxmlformats.org/officeDocument/2006/relationships/hyperlink" Target="https://www.xingtu.cn/ad/creator/author-homepage/douyin-video/6870112225344880653?market_track_id=MR61YKQACBEHR44TKR7E&amp;search_session_id=7533159252346241078&amp;possessStarId" TargetMode="External"/><Relationship Id="rId176" Type="http://schemas.openxmlformats.org/officeDocument/2006/relationships/hyperlink" Target="https://v.douyin.com/em3sFvS6LMA/" TargetMode="External"/><Relationship Id="rId175" Type="http://schemas.openxmlformats.org/officeDocument/2006/relationships/hyperlink" Target="https://www.xingtu.cn/ad/creator/author-homepage/douyin-video/6629722298792280068?market_track_id=ALE4EJ3WE9UOCFVX4NC4&amp;search_session_id=7532380290833645604&amp;possessStarId" TargetMode="External"/><Relationship Id="rId174" Type="http://schemas.openxmlformats.org/officeDocument/2006/relationships/hyperlink" Target="https://v.douyin.com/9AFkA0NTkFQ/" TargetMode="External"/><Relationship Id="rId173" Type="http://schemas.openxmlformats.org/officeDocument/2006/relationships/hyperlink" Target="https://v.douyin.com/Y_T6k4YZ1jA/" TargetMode="External"/><Relationship Id="rId172" Type="http://schemas.openxmlformats.org/officeDocument/2006/relationships/hyperlink" Target="https://www.xingtu.cn/ad/creator/author-homepage/douyin-video/7212165981076979770?market_track_id=C1YWJOJOH7GWYM2BJIBX&amp;search_session_id=7532374389598191658&amp;possessStarId" TargetMode="External"/><Relationship Id="rId171" Type="http://schemas.openxmlformats.org/officeDocument/2006/relationships/hyperlink" Target="https://www.xingtu.cn/ad/creator/author-homepage/douyin-video/6870160334506688526?market_track_id=ALUPYOHU2Q7WIQNY7CS6&amp;search_session_id=7529771916695224339&amp;possessStarId" TargetMode="External"/><Relationship Id="rId170" Type="http://schemas.openxmlformats.org/officeDocument/2006/relationships/hyperlink" Target="https://v.douyin.com/NfM4H3xVgqI/ 0@0.com" TargetMode="External"/><Relationship Id="rId17" Type="http://schemas.openxmlformats.org/officeDocument/2006/relationships/hyperlink" Target="https://v.douyin.com/jw6LBUB/" TargetMode="External"/><Relationship Id="rId169" Type="http://schemas.openxmlformats.org/officeDocument/2006/relationships/hyperlink" Target="https://www.xingtu.cn/ad/creator/author-homepage/douyin-video/6675972478684102659?market_track_id=8VVIMQRXFNYSWMG59N6B&amp;search_session_id=7516811288732237887&amp;possessStarId" TargetMode="External"/><Relationship Id="rId168" Type="http://schemas.openxmlformats.org/officeDocument/2006/relationships/hyperlink" Target="https://v.douyin.com/SfXQxQL349E/ 7@4.com" TargetMode="External"/><Relationship Id="rId167" Type="http://schemas.openxmlformats.org/officeDocument/2006/relationships/hyperlink" Target="https://www.xingtu.cn/ad/creator/author-homepage/douyin-video/7199695122814992442?market_track_id=ZXBVBKFT569LO0GS36DM&amp;search_session_id=7514227812799512612&amp;video_type=2&amp;_route_from=from_page%3DMarket%26search_session_id%3D7514227812799512612%26is_for_order%3D1%26market_track_id%3DZXBVBKFT569LO0GS36DM%26platform_source%3D1%26key%3D%25E5%2590%258D%25E6%2591%2584%25E5%25BD%25B1%25E5%25B0%258F%25E6%2596%25B0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166" Type="http://schemas.openxmlformats.org/officeDocument/2006/relationships/hyperlink" Target="https://v.douyin.com/sAN6OJdtQJk/ 5@8.com" TargetMode="External"/><Relationship Id="rId165" Type="http://schemas.openxmlformats.org/officeDocument/2006/relationships/hyperlink" Target="https://www.xingtu.cn/ad/creator/author-homepage/douyin-video/6763255021673906180?market_track_id=0K7127XRBJCSUN1J1ML6&amp;search_session_id=7506419638394306579&amp;video_type=2&amp;_route_from=from_page%3DMarket%26search_session_id%3D7506419638394306579%26is_for_order%3D1%26market_track_id%3D0K7127XRBJCSUN1J1ML6%26platform_source%3D1%26key%3D%25E6%25B8%2585%25E5%25A6%258D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64" Type="http://schemas.openxmlformats.org/officeDocument/2006/relationships/hyperlink" Target="https://www.xingtu.cn/ad/creator/author-homepage/douyin-video/7090145395988234255?market_track_id=CXX0T8PZX6VKRWU7FPCC&amp;search_session_id=7506419877101191179&amp;video_type=2&amp;_route_from=from_page%3DMarket%26search_session_id%3D7506419877101191179%26is_for_order%3D1%26market_track_id%3DCXX0T8PZX6VKRWU7FPCC%26platform_source%3D1%26key%3D%25E7%25BB%25B4%25E5%25A6%25AE%25E5%2584%25BFDance%25F0%259F%2591%25A3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63" Type="http://schemas.openxmlformats.org/officeDocument/2006/relationships/hyperlink" Target="https://www.xingtu.cn/ad/creator/author-homepage/douyin-video/7351730252281806858?market_track_id=Q8KVA6MSVYLYCDFMCC1Q&amp;search_session_id=7506420302496841769&amp;video_type=2&amp;_route_from=from_page%3DMarket%26search_session_id%3D7506420302496841769%26is_for_order%3D1%26market_track_id%3DQ8KVA6MSVYLYCDFMCC1Q%26platform_source%3D1%26key%3D%25E5%259B%259B%25E4%25B9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62" Type="http://schemas.openxmlformats.org/officeDocument/2006/relationships/hyperlink" Target="https://www.xingtu.cn/ad/creator/author-homepage/douyin-video/7301232242683019273?market_track_id=AX2QE06W2PAHS8LH1D0I&amp;search_session_id=7506420191522275339&amp;video_type=2&amp;_route_from=from_page%3DMarket%26search_session_id%3D7506420191522275339%26is_for_order%3D1%26market_track_id%3DAX2QE06W2PAHS8LH1D0I%26platform_source%3D1%26key%3D%25E5%25AE%259B%25E5%25BA%25A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61" Type="http://schemas.openxmlformats.org/officeDocument/2006/relationships/hyperlink" Target="https://www.xingtu.cn/ad/creator/author-homepage/douyin-video/7129889869039403015?market_track_id=14V3MPWQNE99BRC2Y8PU&amp;search_session_id=7506420126619566091&amp;video_type=2&amp;_route_from=from_page%3DMarket%26search_session_id%3D7506420126619566091%26is_for_order%3D1%26market_track_id%3D14V3MPWQNE99BRC2Y8PU%26platform_source%3D1%26key%3D%25E8%258A%25B1%25E5%258D%2583%25E5%25B0%258F%25E9%25AA%25A8%25E2%2581%25B8%25C2%25B2%25C2%25B9%25F0%259F%2595%258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60" Type="http://schemas.openxmlformats.org/officeDocument/2006/relationships/hyperlink" Target="https://www.xingtu.cn/ad/creator/author-homepage/douyin-video/7348369428595081226?market_track_id=XGEHLZ9CA9OLF261XFQT&amp;search_session_id=7506420067140108299&amp;video_type=2&amp;_route_from=from_page%3DMarket%26search_session_id%3D7506420067140108299%26is_for_order%3D1%26market_track_id%3DXGEHLZ9CA9OLF261XFQT%26platform_source%3D1%26key%3D%25E5%25BC%25A0%25E5%25A5%25BD%25E5%25A5%25BD%25E7%2588%25B1%25E5%2590%2583%25E9%25B1%25BC%25F0%259F%2590%25A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6" Type="http://schemas.openxmlformats.org/officeDocument/2006/relationships/hyperlink" Target="https://v.douyin.com/YSFB7Vh/" TargetMode="External"/><Relationship Id="rId159" Type="http://schemas.openxmlformats.org/officeDocument/2006/relationships/hyperlink" Target="https://www.xingtu.cn/ad/creator/author-homepage/douyin-video/6596679993906954254?market_track_id=RHX9N8IZ5BDH2B8GR5YR&amp;search_session_id=7506419773791240255&amp;video_type=2&amp;_route_from=from_page%3DMarket%26search_session_id%3D7506419773791240255%26is_for_order%3D1%26market_track_id%3DRHX9N8IZ5BDH2B8GR5YR%26platform_source%3D1%26key%3D%25E5%25A4%259A%25E5%258A%25A0%25E7%2582%25B9DuoD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58" Type="http://schemas.openxmlformats.org/officeDocument/2006/relationships/hyperlink" Target="https://www.xingtu.cn/ad/creator/author-homepage/douyin-video/7179569792829882426?market_track_id=2FOXOWJPSJT5SZW6D330&amp;search_session_id=7506428934028836900&amp;video_type=2&amp;_route_from=from_page%3DMarket%26search_session_id%3D7506428934028836900%26is_for_order%3D1%26market_track_id%3D2FOXOWJPSJT5SZW6D330%26platform_source%3D1%26key%3D%25E5%25B0%258F%25E9%259B%25AA%25E6%2597%25A5%25E8%25AE%25B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57" Type="http://schemas.openxmlformats.org/officeDocument/2006/relationships/hyperlink" Target="https://www.xingtu.cn/ad/creator/author-homepage/douyin-video/6870171420836495374?market_track_id=FKC7GUD0Z72EULREXC6X&amp;search_session_id=7506428463252570166&amp;video_type=2&amp;_route_from=from_page%3DMarket%26search_session_id%3D7506428463252570166%26is_for_order%3D1%26market_track_id%3DFKC7GUD0Z72EULREXC6X%26platform_source%3D1%26key%3D%25E6%2596%25AF%25E5%25A8%259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56" Type="http://schemas.openxmlformats.org/officeDocument/2006/relationships/hyperlink" Target="https://www.xingtu.cn/ad/creator/author-homepage/douyin-video/6870167809498808333?market_track_id=5JHIEM8JD0YPO75OONSK&amp;search_session_id=7506428303101018153&amp;video_type=2&amp;_route_from=from_page%3DMarket%26search_session_id%3D7506428303101018153%26is_for_order%3D1%26market_track_id%3D5JHIEM8JD0YPO75OONSK%26platform_source%3D1%26key%3D%25E5%25B0%258F%25E7%25A8%258B%25E4%25B8%258D%25E6%2598%25AF%25E5%25B0%258F%25E9%2599%2588%25E4%25B9%259F%25E4%25B8%258D%25E6%2598%25AF%25E5%25B0%258F%25E6%2588%259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55" Type="http://schemas.openxmlformats.org/officeDocument/2006/relationships/hyperlink" Target="https://www.xingtu.cn/ad/creator/author-homepage/douyin-video/6846209317889114120?market_track_id=58IHQXH5X0IERITR1FXA&amp;search_session_id=7506428168321531915&amp;video_type=2&amp;_route_from=from_page%3DMarket%26search_session_id%3D7506428168321531915%26is_for_order%3D1%26market_track_id%3D58IHQXH5X0IERITR1FXA%26platform_source%3D1%26key%3D%25E5%2588%2598%25E8%25B4%25BA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54" Type="http://schemas.openxmlformats.org/officeDocument/2006/relationships/hyperlink" Target="https://www.xingtu.cn/ad/creator/author-homepage/douyin-video/6629127088207036430?market_track_id=HQ30STQYALVLETP50BBJ&amp;search_session_id=7506428133824708671&amp;video_type=2&amp;_route_from=from_page%3DMarket%26search_session_id%3D7506428133824708671%26is_for_order%3D1%26market_track_id%3DHQ30STQYALVLETP50BBJ%26platform_source%3D1%26key%3D%25E4%25BA%258C%25E5%2590%258C%25E5%2593%25A5%25E5%2593%25A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53" Type="http://schemas.openxmlformats.org/officeDocument/2006/relationships/hyperlink" Target="https://www.xingtu.cn/ad/creator/author-homepage/douyin-video/6985450122213588999?market_track_id=HAMOFE78QB1VJXO33CNW&amp;search_session_id=7506428100830363687&amp;video_type=2&amp;_route_from=from_page%3DMarket%26search_session_id%3D7506428100830363687%26is_for_order%3D1%26market_track_id%3DHAMOFE78QB1VJXO33CNW%26platform_source%3D1%26key%3D%25E5%25B0%258F%25E6%259E%2597%25E7%25B6%25A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52" Type="http://schemas.openxmlformats.org/officeDocument/2006/relationships/hyperlink" Target="https://www.xingtu.cn/ad/creator/author-homepage/douyin-video/6813591753300377613?market_track_id=D1XV4JZ26VN8RR0N5HND&amp;search_session_id=7506427944303657014&amp;video_type=2&amp;_route_from=from_page%3DMarket%26search_session_id%3D7506427944303657014%26is_for_order%3D1%26market_track_id%3DD1XV4JZ26VN8RR0N5HND%26platform_source%3D1%26key%3D%25E5%25BD%25A6%25E5%2584%25BF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51" Type="http://schemas.openxmlformats.org/officeDocument/2006/relationships/hyperlink" Target="https://www.xingtu.cn/ad/creator/author-homepage/douyin-video/7044187080850669604?market_track_id=VYH7JQYOIMA6S360E8HU&amp;search_session_id=7506427789810516004&amp;video_type=2&amp;_route_from=from_page%3DMarket%26search_session_id%3D7506427789810516004%26is_for_order%3D1%26market_track_id%3DVYH7JQYOIMA6S360E8HU%26platform_source%3D1%26key%3D%25E6%25B8%25A3%25E7%2594%25B7%25E9%2587%2591%25E4%25B9%2598%25E4%25BA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50" Type="http://schemas.openxmlformats.org/officeDocument/2006/relationships/hyperlink" Target="https://www.xingtu.cn/ad/creator/author-homepage/douyin-video/6793284681224683534?market_track_id=WYYKHUE391R399LR5PQC&amp;search_session_id=7506425929252306956&amp;video_type=2&amp;_route_from=from_page%3DMarket%26search_session_id%3D7506425929252306956%26is_for_order%3D1%26market_track_id%3DWYYKHUE391R399LR5PQC%26platform_source%3D1%26key%3D%25E6%25B4%259B%25E4%25B8%25BD%25E5%25A1%2594%25E5%25A4%25A7%25E5%2593%25A5lolit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5" Type="http://schemas.openxmlformats.org/officeDocument/2006/relationships/hyperlink" Target="https://v.douyin.com/RLPXyXk/" TargetMode="External"/><Relationship Id="rId149" Type="http://schemas.openxmlformats.org/officeDocument/2006/relationships/hyperlink" Target="https://www.xingtu.cn/ad/creator/author-homepage/douyin-video/6598044372904706056?market_track_id=LNH6XSBXKUYAUT0PYP8V&amp;search_session_id=7506424771753263140&amp;video_type=2&amp;_route_from=from_page%3DMarket%26search_session_id%3D7506424771753263140%26is_for_order%3D1%26market_track_id%3DLNH6XSBXKUYAUT0PYP8V%26platform_source%3D1%26key%3D%25E6%259A%25B4%25E8%25B5%25B0%25E8%2590%259D%25E8%258E%2589-%25E5%25B0%25A7%25E6%25B4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48" Type="http://schemas.openxmlformats.org/officeDocument/2006/relationships/hyperlink" Target="https://www.xingtu.cn/ad/creator/author-homepage/douyin-video/7092592304216604702?market_track_id=2IQYJW5H44K20LKAGDUO&amp;search_session_id=7506415622059081791&amp;video_type=2&amp;_route_from=from_page%3DMarket%26search_session_id%3D7506415622059081791%26is_for_order%3D1%26market_track_id%3D2IQYJW5H44K20LKAGDUO%26platform_source%3D1%26key%3D%25E7%25AE%25A1%25E5%25AE%25B6%25E5%25B0%258F%25E8%2591%259B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147" Type="http://schemas.openxmlformats.org/officeDocument/2006/relationships/hyperlink" Target="https://www.xingtu.cn/ad/creator/author-homepage/douyin-video/6834011991800021005?market_track_id=SR3ZC29RTTZ0ZEBUVE23&amp;search_session_id=7506425026557263911&amp;video_type=2&amp;_route_from=from_page%3DMarket%26search_session_id%3D7506425026557263911%26is_for_order%3D1%26market_track_id%3DSR3ZC29RTTZ0ZEBUVE23%26platform_source%3D1%26key%3D%25E5%25BE%2590%25E5%258D%2581%25E4%25B8%2583%25E5%2598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46" Type="http://schemas.openxmlformats.org/officeDocument/2006/relationships/hyperlink" Target="https://www.xingtu.cn/ad/creator/author-homepage/douyin-video/6629661185576796164?market_track_id=E1N10QJIKJYZ2OX6B4WC&amp;search_session_id=7506425026556870695&amp;video_type=2&amp;_route_from=from_page%3DMarket%26search_session_id%3D7506425026556870695%26is_for_order%3D1%26market_track_id%3DE1N10QJIKJYZ2OX6B4WC%26platform_source%3D1%26key%3D%25E6%25A3%259A%25E6%25A3%259A%25E6%259C%25B1%25E5%258F%25A4%25E5%258A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45" Type="http://schemas.openxmlformats.org/officeDocument/2006/relationships/hyperlink" Target="https://www.xingtu.cn/ad/creator/author-homepage/douyin-video/6629665882937229325?market_track_id=ADFREOQU9K4XJ1E1ZMOD&amp;search_session_id=7506424794557890599&amp;video_type=2&amp;_route_from=from_page%3DMarket%26search_session_id%3D7506424794557890599%26is_for_order%3D1%26market_track_id%3DADFREOQU9K4XJ1E1ZMOD%26platform_source%3D1%26key%3D%25E5%258C%2597%25E6%2596%25B9%25E5%25A7%2591%25E5%25A8%2598%25EF%25BC%2588%25E7%25B3%2596%25E7%25B3%2596%25EF%25BC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44" Type="http://schemas.openxmlformats.org/officeDocument/2006/relationships/hyperlink" Target="https://www.xingtu.cn/ad/creator/author-homepage/douyin-video/6870161001908535304?market_track_id=S836WFJCQGHOKPFU5EXZ&amp;search_session_id=7506424794557120551&amp;video_type=2&amp;_route_from=from_page%3DMarket%26search_session_id%3D7506424794557120551%26is_for_order%3D1%26market_track_id%3DS836WFJCQGHOKPFU5EXZ%26platform_source%3D1%26key%3D%25E4%25BD%25A0%25E7%259A%2584%25E6%259C%2580%25E4%25BD%25B3%25E7%2594%25B7%25E5%258F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43" Type="http://schemas.openxmlformats.org/officeDocument/2006/relationships/hyperlink" Target="https://www.xingtu.cn/ad/creator/author-homepage/douyin-video/6808450102416375815?market_track_id=DN5LLR9P9Q9B1MGJYRAO&amp;search_session_id=7506424596179763254&amp;video_type=2&amp;_route_from=from_page%3DMarket%26search_session_id%3D7506424596179763254%26is_for_order%3D1%26market_track_id%3DDN5LLR9P9Q9B1MGJYRAO%26platform_source%3D1%26key%3D%25E8%25B0%25A2%25E6%25BD%2587%25E7%25BE%25BDx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42" Type="http://schemas.openxmlformats.org/officeDocument/2006/relationships/hyperlink" Target="https://www.xingtu.cn/ad/creator/author-homepage/douyin-video/6805457493347549198?market_track_id=ABWG93TWKLXV69FMO8CQ&amp;search_session_id=7506424543515459638&amp;video_type=2&amp;_route_from=from_page%3DMarket%26search_session_id%3D7506424543515459638%26is_for_order%3D1%26market_track_id%3DABWG93TWKLXV69FMO8CQ%26platform_source%3D1%26key%3D%25E8%25B5%259B%25E7%25BD%2597%25E7%259A%2584%25E5%25AE%259D%25E8%25B4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41" Type="http://schemas.openxmlformats.org/officeDocument/2006/relationships/hyperlink" Target="https://www.xingtu.cn/ad/creator/author-homepage/douyin-video/6870164208189702152?market_track_id=GYOH9VBY438XLHVY0MNI&amp;search_session_id=7506424359243661351&amp;video_type=2&amp;_route_from=from_page%3DMarket%26search_session_id%3D7506424359243661351%26is_for_order%3D1%26market_track_id%3DGYOH9VBY438XLHVY0MNI%26platform_source%3D1%26key%3D%25E9%2598%25BF%25E7%2584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40" Type="http://schemas.openxmlformats.org/officeDocument/2006/relationships/hyperlink" Target="https://www.xingtu.cn/ad/creator/author-homepage/douyin-video/6733529818639368206?market_track_id=WRTIL1B1HTNDE90QY48O&amp;search_session_id=7506424351446384681&amp;video_type=2&amp;_route_from=from_page%3DMarket%26search_session_id%3D7506424351446384681%26is_for_order%3D1%26market_track_id%3DWRTIL1B1HTNDE90QY48O%26platform_source%3D1%26key%3D%25E6%2599%25A8%25E6%2599%2593%25E4%25B9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4" Type="http://schemas.openxmlformats.org/officeDocument/2006/relationships/hyperlink" Target="https://v.douyin.com/dQcJY1k/" TargetMode="External"/><Relationship Id="rId139" Type="http://schemas.openxmlformats.org/officeDocument/2006/relationships/hyperlink" Target="https://www.xingtu.cn/ad/creator/author-homepage/douyin-video/6602513255774552072?market_track_id=PTF8N8NPVNQT7WK3HW8Y&amp;search_session_id=7506424333159333907&amp;video_type=2&amp;_route_from=from_page%3DMarket%26search_session_id%3D7506424333159333907%26is_for_order%3D1%26market_track_id%3DPTF8N8NPVNQT7WK3HW8Y%26platform_source%3D1%26key%3D%25E4%25B8%2589%25E5%258D%2583%25E4%25BC%2581%25E9%25B9%258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8" Type="http://schemas.openxmlformats.org/officeDocument/2006/relationships/hyperlink" Target="https://www.xingtu.cn/ad/creator/author-homepage/douyin-video/7313479684807720997?market_track_id=ALH7D0J6JFUEFDK6KAID&amp;search_session_id=7506424265248751679&amp;video_type=2&amp;_route_from=from_page%3DMarket%26search_session_id%3D7506424265248751679%26is_for_order%3D1%26market_track_id%3DALH7D0J6JFUEFDK6KAID%26platform_source%3D1%26key%3D%25E4%25B8%2580%25E4%25B8%25AA%25E5%25B9%25BD%25E7%2581%25B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7" Type="http://schemas.openxmlformats.org/officeDocument/2006/relationships/hyperlink" Target="https://www.xingtu.cn/ad/creator/author-homepage/douyin-video/7054120952338055205?market_track_id=FKDIAR06NAK77FX5SDBW&amp;search_session_id=7506424158482841612&amp;video_type=2&amp;_route_from=from_page%3DMarket%26search_session_id%3D7506424158482841612%26is_for_order%3D1%26market_track_id%3DFKDIAR06NAK77FX5SDBW%26platform_source%3D1%26key%3D%25E4%25B8%2580%25E6%25A0%25B9%25E8%2597%25A4%25E4%25B8%258A%25E4%25BA%2594%25E6%259C%25B5%25E8%258A%25B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6" Type="http://schemas.openxmlformats.org/officeDocument/2006/relationships/hyperlink" Target="https://www.xingtu.cn/ad/creator/author-homepage/douyin-video/6870159877965086734?market_track_id=4VLAYHOU7P7TO6W8HL99&amp;search_session_id=7506423946146332711&amp;video_type=2&amp;_route_from=from_page%3DMarket%26search_session_id%3D7506423946146332711%26is_for_order%3D1%26market_track_id%3D4VLAYHOU7P7TO6W8HL99%26platform_source%3D1%26key%3D%25E5%25B0%258F%25E8%2592%2599%25E5%258F%25A4%25E8%2585%25BE%25E5%25AE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5" Type="http://schemas.openxmlformats.org/officeDocument/2006/relationships/hyperlink" Target="https://www.xingtu.cn/ad/creator/author-homepage/douyin-video/6870160454354731015?market_track_id=2K9YKN4UJSJFEZ6K43DR&amp;search_session_id=7506423935655821353&amp;video_type=2&amp;_route_from=from_page%3DMarket%26search_session_id%3D7506423935655821353%26is_for_order%3D1%26market_track_id%3D2K9YKN4UJSJFEZ6K43DR%26platform_source%3D1%26key%3D%25E7%259B%2586%25E7%259B%2586Penny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4" Type="http://schemas.openxmlformats.org/officeDocument/2006/relationships/hyperlink" Target="https://www.xingtu.cn/ad/creator/author-homepage/douyin-video/6843212354792980493?market_track_id=RG69PPQ1KDPGXJYV1UTS&amp;search_session_id=7506421678910603318&amp;video_type=2&amp;_route_from=from_page%3DMarket%26search_session_id%3D7506421678910603318%26is_for_order%3D1%26market_track_id%3DRG69PPQ1KDPGXJYV1UTS%26platform_source%3D1%26key%3D%25E4%25B9%259D%25E4%25B9%259D%25E6%2588%2591%25E5%2595%258A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3" Type="http://schemas.openxmlformats.org/officeDocument/2006/relationships/hyperlink" Target="https://www.xingtu.cn/ad/creator/author-homepage/douyin-video/6818363824530259981?market_track_id=GAK8PLETEK3HVV75L1IZ&amp;search_session_id=7506421950762696715&amp;video_type=2&amp;_route_from=from_page%3DMarket%26search_session_id%3D7506421950762696715%26is_for_order%3D1%26market_track_id%3DGAK8PLETEK3HVV75L1IZ%26platform_source%3D1%26key%3D%25E4%25BE%25AF%25E5%258D%259A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2" Type="http://schemas.openxmlformats.org/officeDocument/2006/relationships/hyperlink" Target="https://www.xingtu.cn/ad/creator/author-homepage/douyin-video/6765376911481765895?market_track_id=1KKSMRVM7CQC1GZEHIJS&amp;search_session_id=7506421245673291830&amp;video_type=2&amp;_route_from=from_page%3DMarket%26search_session_id%3D7506421245673291830%26is_for_order%3D1%26market_track_id%3D1KKSMRVM7CQC1GZEHIJS%26platform_source%3D1%26key%3D%25E6%2588%2591%25E6%2598%25AF%25E5%25B0%258F%25E7%25A8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1" Type="http://schemas.openxmlformats.org/officeDocument/2006/relationships/hyperlink" Target="https://www.xingtu.cn/ad/creator/author-homepage/douyin-video/7180709870071447609?market_track_id=PIEB08Z2JMFWPHSRFLIW&amp;search_session_id=7506421047202578443&amp;video_type=2&amp;_route_from=from_page%3DMarket%26search_session_id%3D7506421047202578443%26is_for_order%3D1%26market_track_id%3DPIEB08Z2JMFWPHSRFLIW%26platform_source%3D1%26key%3D%25E5%25BC%25A0%25E8%258B%25A5%25E5%25A5%25B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0" Type="http://schemas.openxmlformats.org/officeDocument/2006/relationships/hyperlink" Target="https://www.xingtu.cn/ad/creator/author-homepage/douyin-video/6629660072450457603?market_track_id=JME3Y2ESKQDD9EPJYTQN&amp;search_session_id=7506420419478552587&amp;video_type=2&amp;_route_from=from_page%3DMarket%26search_session_id%3D7506420419478552587%26is_for_order%3D1%26market_track_id%3DJME3Y2ESKQDD9EPJYTQN%26platform_source%3D1%26key%3D%25E5%25BC%25A0%25E4%25BB%2580%25E4%25BB%258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" Type="http://schemas.openxmlformats.org/officeDocument/2006/relationships/hyperlink" Target="https://v.douyin.com/En7thx/" TargetMode="External"/><Relationship Id="rId129" Type="http://schemas.openxmlformats.org/officeDocument/2006/relationships/hyperlink" Target="https://www.xingtu.cn/ad/creator/author-homepage/douyin-video/7060481079546740749?market_track_id=2WEXY9CC3S5R884QCM1F&amp;search_session_id=7506420928160284711&amp;video_type=2&amp;_route_from=from_page%3DMarket%26search_session_id%3D7506420928160284711%26is_for_order%3D1%26market_track_id%3D2WEXY9CC3S5R884QCM1F%26platform_source%3D1%26key%3D%25E9%2587%2591%25E9%2599%25B5%25E5%25A5%2587%25E6%2580%25AA%25E7%259A%2584%25E7%2583%25A7%25E9%25A5%25B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8" Type="http://schemas.openxmlformats.org/officeDocument/2006/relationships/hyperlink" Target="https://www.xingtu.cn/ad/creator/author-homepage/douyin-video/6870159990577954824?market_track_id=T8BAMZBOBD6Z18OE3R93&amp;search_session_id=7506431138102444051&amp;video_type=2&amp;_route_from=from_page%3DMarket%26search_session_id%3D7506431138102444051%26is_for_order%3D1%26market_track_id%3DT8BAMZBOBD6Z18OE3R93%26platform_source%3D1%26key%3D%25E5%25A6%258D%25E7%2594%2584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7" Type="http://schemas.openxmlformats.org/officeDocument/2006/relationships/hyperlink" Target="https://www.xingtu.cn/ad/creator/author-homepage/douyin-video/7488959372198936602?market_track_id=VWMFFQNDTW0BCBDHKNN4&amp;search_session_id=7506431099029028876&amp;video_type=2&amp;_route_from=from_page%3DMarket%26search_session_id%3D7506431099029028876%26is_for_order%3D1%26market_track_id%3DVWMFFQNDTW0BCBDHKNN4%26platform_source%3D1%26key%3D%25E5%25B0%258F%25E8%2592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6" Type="http://schemas.openxmlformats.org/officeDocument/2006/relationships/hyperlink" Target="https://www.xingtu.cn/ad/creator/author-homepage/douyin-video/6870161289092530183?market_track_id=QPV4PC1JHVHA8GSUK8Z0&amp;search_session_id=7506430889400893459&amp;video_type=2&amp;_route_from=from_page%3DMarket%26search_session_id%3D7506430889400893459%26is_for_order%3D1%26market_track_id%3DQPV4PC1JHVHA8GSUK8Z0%26platform_source%3D1%26key%3D%25E6%2595%25A2%25E6%2595%25A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5" Type="http://schemas.openxmlformats.org/officeDocument/2006/relationships/hyperlink" Target="https://www.xingtu.cn/ad/creator/author-homepage/douyin-video/6870162722948907021?market_track_id=HX3UZTZFFZ2VYM5FWXQU&amp;search_session_id=7506430716956622889&amp;video_type=2&amp;_route_from=from_page%3DMarket%26search_session_id%3D7506430716956622889%26is_for_order%3D1%26market_track_id%3DHX3UZTZFFZ2VYM5FWXQU%26platform_source%3D1%26key%3D%25E6%259C%25A8%2B%25E6%259C%25A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4" Type="http://schemas.openxmlformats.org/officeDocument/2006/relationships/hyperlink" Target="https://www.xingtu.cn/ad/creator/author-homepage/douyin-video/6611303266019966990?market_track_id=YZBLXF6ASWYQTM5LXYSG&amp;search_session_id=7506430525411033127&amp;video_type=2&amp;_route_from=from_page%3DMarket%26search_session_id%3D7506430525411033127%26is_for_order%3D1%26market_track_id%3DYZBLXF6ASWYQTM5LXYSG%26platform_source%3D1%26key%3D%25E5%25B0%258F%25E5%259B%259B%25E5%259B%259B%25F0%259F%258D%259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3" Type="http://schemas.openxmlformats.org/officeDocument/2006/relationships/hyperlink" Target="https://www.xingtu.cn/ad/creator/author-homepage/douyin-video/6870166999796809741?market_track_id=P73HQ4QJ099QMC8KICTS&amp;search_session_id=7506430366560682038&amp;video_type=2&amp;_route_from=from_page%3DMarket%26search_session_id%3D7506430366560682038%26is_for_order%3D1%26market_track_id%3DP73HQ4QJ099QMC8KICTS%26platform_source%3D1%26key%3D%25E8%258E%25AB%25E5%25BE%2597%25E6%2584%259F%25E6%2583%2585%25E7%259A%2584%25E5%25B0%258F%25E8%2591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2" Type="http://schemas.openxmlformats.org/officeDocument/2006/relationships/hyperlink" Target="https://www.xingtu.cn/ad/creator/author-homepage/douyin-video/6870162821561204743?market_track_id=KL6TLOM9QJ0UCP1XH4IE&amp;search_session_id=7506430103665426443&amp;video_type=2&amp;_route_from=from_page%3DMarket%26search_session_id%3D7506430103665426443%26is_for_order%3D1%26market_track_id%3DKL6TLOM9QJ0UCP1XH4IE%26platform_source%3D1%26key%3D%25E4%25B8%2580%25E8%2588%25A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1" Type="http://schemas.openxmlformats.org/officeDocument/2006/relationships/hyperlink" Target="https://www.xingtu.cn/ad/creator/author-homepage/douyin-video/6870170834816729101?market_track_id=SXJQ9HB0BYQ19L881TOF&amp;search_session_id=7506429719941808191&amp;video_type=2&amp;_route_from=from_page%3DMarket%26search_session_id%3D7506429719941808191%26is_for_order%3D1%26market_track_id%3DSXJQ9HB0BYQ19L881TOF%26platform_source%3D1%26key%3D%25E5%258C%2597%25E9%25BC%25BB%25E5%25B0%258F%25E5%25A4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0" Type="http://schemas.openxmlformats.org/officeDocument/2006/relationships/hyperlink" Target="https://www.xingtu.cn/ad/creator/author-homepage/douyin-video/6900654571798921224?market_track_id=SVJQM7OP52GJJXKEGAQX&amp;search_session_id=7506429690123911187&amp;video_type=2&amp;_route_from=from_page%3DMarket%26search_session_id%3D7506429690123911187%26is_for_order%3D1%26market_track_id%3DSVJQM7OP52GJJXKEGAQX%26platform_source%3D1%26key%3D%25E4%25B9%259D%25E8%25A7%2585%25E5%259C%25A8%25E8%25BF%2599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" Type="http://schemas.openxmlformats.org/officeDocument/2006/relationships/hyperlink" Target="https://v.douyin.com/evchkkA/" TargetMode="External"/><Relationship Id="rId119" Type="http://schemas.openxmlformats.org/officeDocument/2006/relationships/hyperlink" Target="https://www.xingtu.cn/ad/creator/author-homepage/douyin-video/6739747258457128971?market_track_id=MA29RSFT2LORMYQL3DH8&amp;search_session_id=7506429664668434473&amp;video_type=2&amp;_route_from=from_page%3DMarket%26search_session_id%3D7506429664668434473%26is_for_order%3D1%26market_track_id%3DMA29RSFT2LORMYQL3DH8%26platform_source%3D1%26key%3D%25E4%25B8%258D%25E7%259F%25A5%25E5%2590%258D%25E7%25BD%2591%25E5%258F%258B%25E9%2585%25A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8" Type="http://schemas.openxmlformats.org/officeDocument/2006/relationships/hyperlink" Target="https://www.xingtu.cn/ad/creator/author-homepage/douyin-video/6942543953501618190?market_track_id=QX6ICE89U286JW02WLSZ&amp;search_session_id=7506429594061242407&amp;video_type=2&amp;_route_from=from_page%3DMarket%26search_session_id%3D7506429594061242407%26is_for_order%3D1%26market_track_id%3DQX6ICE89U286JW02WLSZ%26platform_source%3D1%26key%3D%25E4%25BF%259D%25E7%2590%25B3%25E7%2590%2583%25E6%259C%2589%25E7%2582%25B9%25E8%2583%259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7" Type="http://schemas.openxmlformats.org/officeDocument/2006/relationships/hyperlink" Target="https://www.xingtu.cn/ad/creator/author-homepage/douyin-video/6791920181795880967?market_track_id=IM3U27N5TPWIQ7CVV1N0&amp;search_session_id=7506429437123608587&amp;video_type=2&amp;_route_from=from_page%3DMarket%26search_session_id%3D7506429437123608587%26is_for_order%3D1%26market_track_id%3DIM3U27N5TPWIQ7CVV1N0%26platform_source%3D1%26key%3D%25E6%2598%25AF%25E8%2585%25BF%25E8%2585%25BF%25E8%2580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6" Type="http://schemas.openxmlformats.org/officeDocument/2006/relationships/hyperlink" Target="https://www.xingtu.cn/ad/creator/author-homepage/douyin-video/6918092611571941389?market_track_id=O3DRWQMXZTJK4BBZ0EKJ&amp;search_session_id=7506429452747112460&amp;video_type=2&amp;_route_from=from_page%3DMarket%26search_session_id%3D7506429452747112460%26is_for_order%3D1%26market_track_id%3DO3DRWQMXZTJK4BBZ0EKJ%26platform_source%3D1%26key%3D%25E6%25A2%25A6%25E8%25BD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5" Type="http://schemas.openxmlformats.org/officeDocument/2006/relationships/hyperlink" Target="https://www.xingtu.cn/ad/creator/author-homepage/douyin-video/6763253245738483715?market_track_id=C0I7KHGF451531MIIVWW&amp;search_session_id=7506416851413450764&amp;video_type=2&amp;_route_from=from_page%3DMarket%26search_session_id%3D7506416851413450764%26is_for_order%3D1%26market_track_id%3DC0I7KHGF451531MIIVWW%26platform_source%3D1%26key%3D%25E8%25B1%259A%25E8%25B1%259A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4" Type="http://schemas.openxmlformats.org/officeDocument/2006/relationships/hyperlink" Target="https://www.xingtu.cn/ad/creator/author-homepage/douyin-video/6596679555342139396?market_track_id=BT0EEIGVJVDIVEW41ZGX&amp;search_session_id=7506429136803135507&amp;video_type=2&amp;_route_from=from_page%3DMarket%26search_session_id%3D7506429136803135507%26is_for_order%3D1%26market_track_id%3DBT0EEIGVJVDIVEW41ZGX%26platform_source%3D1%26key%3D%25E7%258E%258B%25E6%2583%2585%25E6%25B0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3" Type="http://schemas.openxmlformats.org/officeDocument/2006/relationships/hyperlink" Target="https://www.xingtu.cn/ad/creator/author-homepage/douyin-video/6734527767246798860?market_track_id=WKVXPSL4IKRQJNQ4NM5M&amp;search_session_id=7506429136802496531&amp;video_type=2&amp;_route_from=from_page%3DMarket%26search_session_id%3D7506429136802496531%26is_for_order%3D1%26market_track_id%3DWKVXPSL4IKRQJNQ4NM5M%26platform_source%3D1%26key%3D%25E9%259B%25AA%25E8%2595%258A%25E5%2591%2580%25EF%25BC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2" Type="http://schemas.openxmlformats.org/officeDocument/2006/relationships/hyperlink" Target="https://www.xingtu.cn/ad/creator/author-homepage/douyin-video/6629659903533252612?market_track_id=49QF5IG7N77EGGQ6BGXL&amp;search_session_id=7506428888890212371&amp;video_type=2&amp;_route_from=from_page%3DMarket%26search_session_id%3D7506428888890212371%26is_for_order%3D1%26market_track_id%3D49QF5IG7N77EGGQ6BGXL%26platform_source%3D1%26key%3D%25E5%25A4%25A7%25E4%25BD%25AC%25E7%2594%259CGiovann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1" Type="http://schemas.openxmlformats.org/officeDocument/2006/relationships/hyperlink" Target="https://www.xingtu.cn/ad/creator/author-homepage/douyin-video/6678504237074219021?market_track_id=D13CLSKP8FWFDVFPETW1&amp;search_session_id=7506418842764115980&amp;video_type=2&amp;_route_from=from_page%3DMarket%26search_session_id%3D7506418842764115980%26is_for_order%3D1%26market_track_id%3DD13CLSKP8FWFDVFPETW1%26platform_source%3D1%26key%3D%25E6%25AF%2594%25E6%25A0%25BC%25E8%25B4%25B9%25E8%25A5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0" Type="http://schemas.openxmlformats.org/officeDocument/2006/relationships/hyperlink" Target="https://www.xingtu.cn/ad/creator/author-homepage/douyin-video/7317865186126217267?market_track_id=LVJ7WBPBL8XAZ4H9W002&amp;search_session_id=7506418818525331467&amp;video_type=2&amp;_route_from=from_page%3DMarket%26search_session_id%3D7506418818525331467%26is_for_order%3D1%26market_track_id%3DLVJ7WBPBL8XAZ4H9W002%26platform_source%3D1%26key%3D%25E5%2591%25A8%25E6%2598%259F%25E8%25BE%25B0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" Type="http://schemas.openxmlformats.org/officeDocument/2006/relationships/hyperlink" Target="https://v.douyin.com/qAah9R/" TargetMode="External"/><Relationship Id="rId109" Type="http://schemas.openxmlformats.org/officeDocument/2006/relationships/hyperlink" Target="https://www.xingtu.cn/ad/creator/author-homepage/douyin-video/6846195326383030286?market_track_id=FOAXG3JNKY28QCQJUMNJ&amp;search_session_id=7506419512900763660&amp;video_type=2&amp;_route_from=from_page%3DMarket%26search_session_id%3D7506419512900763660%26is_for_order%3D1%26market_track_id%3DFOAXG3JNKY28QCQJUMNJ%26platform_source%3D1%26key%3D%25E8%25BF%259E%25E8%259C%259C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8" Type="http://schemas.openxmlformats.org/officeDocument/2006/relationships/hyperlink" Target="https://www.xingtu.cn/ad/creator/author-homepage/douyin-video/6906468704179978253?market_track_id=PF8ZCBKZ0WM963G1RPPE&amp;search_session_id=7506418652669968420&amp;video_type=2&amp;_route_from=from_page%3DMarket%26search_session_id%3D7506418652669968420%26is_for_order%3D1%26market_track_id%3DPF8ZCBKZ0WM963G1RPPE%26platform_source%3D1%26key%3D%25E8%2581%25AA%25E4%25BB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7" Type="http://schemas.openxmlformats.org/officeDocument/2006/relationships/hyperlink" Target="https://www.xingtu.cn/ad/creator/author-homepage/douyin-video/7260488513212710970?market_track_id=3V43JEXVIF8XB9KJH909&amp;search_session_id=7506416010629988393&amp;video_type=2&amp;_route_from=from_page%3DMarket%26search_session_id%3D7506416010629988393%26is_for_order%3D1%26market_track_id%3D3V43JEXVIF8XB9KJH909%26platform_source%3D1%26key%3D%25E5%25B0%258F%25E5%25B9%25B4N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6" Type="http://schemas.openxmlformats.org/officeDocument/2006/relationships/hyperlink" Target="https://www.xingtu.cn/ad/creator/author-homepage/douyin-video/6910389796934254599?market_track_id=ZAKP6TWX3Z0B093LXPGP&amp;search_session_id=7506415352033706038&amp;video_type=2&amp;_route_from=from_page%3DMarket%26search_session_id%3D7506415352033706038%26is_for_order%3D1%26market_track_id%3DZAKP6TWX3Z0B093LXPGP%26platform_source%3D1%26key%3D%25E9%25B9%25BF%25E9%2587%258C%25E7%259C%259F%25E8%258C%2597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105" Type="http://schemas.openxmlformats.org/officeDocument/2006/relationships/hyperlink" Target="https://www.xingtu.cn/ad/creator/author-homepage/douyin-video/6783864693632008200?market_track_id=DX2XFJA2VHND2WDXVECP&amp;search_session_id=7506418399556894774&amp;video_type=2&amp;_route_from=from_page%3DMarket%26search_session_id%3D7506418399556894774%26is_for_order%3D1%26market_track_id%3DDX2XFJA2VHND2WDXVECP%26platform_source%3D1%26key%3DCn%2B%25E8%2584%25B8%25E6%2589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4" Type="http://schemas.openxmlformats.org/officeDocument/2006/relationships/hyperlink" Target="https://www.xingtu.cn/ad/creator/author-homepage/douyin-video/6938687645769990180?market_track_id=DMIQS879LMYA0HUM1WM8&amp;search_session_id=7506418399556698166&amp;video_type=2&amp;_route_from=from_page%3DMarket%26search_session_id%3D7506418399556698166%26is_for_order%3D1%26market_track_id%3DDMIQS879LMYA0HUM1WM8%26platform_source%3D1%26key%3D%25E6%25B3%25BD%25E9%2599%25BD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3" Type="http://schemas.openxmlformats.org/officeDocument/2006/relationships/hyperlink" Target="https://www.xingtu.cn/ad/creator/author-homepage/douyin-video/6789921129067724814?market_track_id=J7IHFN9EOYAI4FHGGJAS&amp;search_session_id=7506418399556157494&amp;video_type=2&amp;_route_from=from_page%3DMarket%26search_session_id%3D7506418399556157494%26is_for_order%3D1%26market_track_id%3DJ7IHFN9EOYAI4FHGGJAS%26platform_source%3D1%26key%3D%25E8%25B6%2585%25E4%25B8%258D%25E5%258F%25AF%25E7%2588%25B1%25E5%25B0%258F%25E6%259C%258B%25E5%258F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2" Type="http://schemas.openxmlformats.org/officeDocument/2006/relationships/hyperlink" Target="https://www.xingtu.cn/ad/creator/author-homepage/douyin-video/6959337293316358177?market_track_id=ZFTAZJCSHTMZDAY2RDSW&amp;search_session_id=7506419462191530047&amp;video_type=2&amp;_route_from=from_page%3DMarket%26search_session_id%3D7506419462191530047%26is_for_order%3D1%26market_track_id%3DZFTAZJCSHTMZDAY2RDSW%26platform_source%3D1%26key%3D%25E7%259A%25AE%25E5%258D%25A1%25E7%2599%25BD%25E7%259A%2584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1" Type="http://schemas.openxmlformats.org/officeDocument/2006/relationships/hyperlink" Target="https://www.xingtu.cn/ad/creator/author-homepage/douyin-video/6855307372995280896?market_track_id=0U7XA97WQ7FAZ0HB1OQJ&amp;search_session_id=7506419289869107212&amp;video_type=2&amp;_route_from=from_page%3DMarket%26search_session_id%3D7506419289869107212%26is_for_order%3D1%26market_track_id%3D0U7XA97WQ7FAZ0HB1OQJ%26platform_source%3D1%26key%3D%25E8%2592%258B%25E4%25B8%2580%25E4%25BA%25BF%25F0%259F%259A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0" Type="http://schemas.openxmlformats.org/officeDocument/2006/relationships/hyperlink" Target="https://www.xingtu.cn/ad/creator/author-homepage/douyin-video/6629725045386117128?market_track_id=SUU99W0ZLQ0TMB899JER&amp;search_session_id=7506419291269644299&amp;video_type=2&amp;_route_from=from_page%3DMarket%26search_session_id%3D7506419291269644299%26is_for_order%3D1%26market_track_id%3DSUU99W0ZLQ0TMB899JER%26platform_source%3D1%26key%3D%25E4%25B8%2581%25E5%2595%258A%25E5%258F%25A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" Type="http://schemas.openxmlformats.org/officeDocument/2006/relationships/hyperlink" Target="https://v.douyin.com/N9wSKAr/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s://v.douyin.com/FukGc9y/" TargetMode="External"/><Relationship Id="rId8" Type="http://schemas.openxmlformats.org/officeDocument/2006/relationships/hyperlink" Target="https://v.douyin.com/6nnu3ep/" TargetMode="External"/><Relationship Id="rId7" Type="http://schemas.openxmlformats.org/officeDocument/2006/relationships/hyperlink" Target="https://v.douyin.com/F52xKBj/" TargetMode="External"/><Relationship Id="rId6" Type="http://schemas.openxmlformats.org/officeDocument/2006/relationships/hyperlink" Target="https://v.douyin.com/6QeCELJ/" TargetMode="External"/><Relationship Id="rId5" Type="http://schemas.openxmlformats.org/officeDocument/2006/relationships/hyperlink" Target="https://v.douyin.com/M3CUn1t/" TargetMode="External"/><Relationship Id="rId4" Type="http://schemas.openxmlformats.org/officeDocument/2006/relationships/hyperlink" Target="https://v.douyin.com/Jn8Fe8S/" TargetMode="External"/><Relationship Id="rId35" Type="http://schemas.openxmlformats.org/officeDocument/2006/relationships/hyperlink" Target="https://v.douyin.com/Rxq1VX9/" TargetMode="External"/><Relationship Id="rId34" Type="http://schemas.openxmlformats.org/officeDocument/2006/relationships/hyperlink" Target="https://v.douyin.com/8fK-mzMbqx4/ 9@3.com" TargetMode="External"/><Relationship Id="rId33" Type="http://schemas.openxmlformats.org/officeDocument/2006/relationships/hyperlink" Target="https://v.douyin.com/ijRaTmKu/" TargetMode="External"/><Relationship Id="rId32" Type="http://schemas.openxmlformats.org/officeDocument/2006/relationships/hyperlink" Target="https://v.douyin.com/vG6xXKcEm1M/" TargetMode="External"/><Relationship Id="rId31" Type="http://schemas.openxmlformats.org/officeDocument/2006/relationships/hyperlink" Target="https://v.douyin.com/qtWVvJiFOXw/" TargetMode="External"/><Relationship Id="rId30" Type="http://schemas.openxmlformats.org/officeDocument/2006/relationships/hyperlink" Target="https://v.douyin.com/bmOwXBxZVL0/" TargetMode="External"/><Relationship Id="rId3" Type="http://schemas.openxmlformats.org/officeDocument/2006/relationships/hyperlink" Target="https://v.douyin.com/eYqMACg/" TargetMode="External"/><Relationship Id="rId29" Type="http://schemas.openxmlformats.org/officeDocument/2006/relationships/hyperlink" Target="https://v.douyin.com/iR6RY8xk/" TargetMode="External"/><Relationship Id="rId28" Type="http://schemas.openxmlformats.org/officeDocument/2006/relationships/hyperlink" Target="https://v.douyin.com/iLXhmbEv/" TargetMode="External"/><Relationship Id="rId27" Type="http://schemas.openxmlformats.org/officeDocument/2006/relationships/hyperlink" Target="https://v.douyin.com/iJBkt6n2/" TargetMode="External"/><Relationship Id="rId26" Type="http://schemas.openxmlformats.org/officeDocument/2006/relationships/hyperlink" Target="https://v.douyin.com/iSkaX3wK/ 7@4.com" TargetMode="External"/><Relationship Id="rId25" Type="http://schemas.openxmlformats.org/officeDocument/2006/relationships/hyperlink" Target="https://v.douyin.com/iMnTEUEQ/ 5" TargetMode="External"/><Relationship Id="rId24" Type="http://schemas.openxmlformats.org/officeDocument/2006/relationships/hyperlink" Target="https://v.douyin.com/iFnqKRPt/ 5@4.com" TargetMode="External"/><Relationship Id="rId23" Type="http://schemas.openxmlformats.org/officeDocument/2006/relationships/hyperlink" Target="https://v.douyin.com/eVfJN5H/" TargetMode="External"/><Relationship Id="rId22" Type="http://schemas.openxmlformats.org/officeDocument/2006/relationships/hyperlink" Target="https://v.douyin.com/eVyoRpH/" TargetMode="External"/><Relationship Id="rId21" Type="http://schemas.openxmlformats.org/officeDocument/2006/relationships/hyperlink" Target="https://v.douyin.com/i6jxhjWt/ 0@5.com" TargetMode="External"/><Relationship Id="rId20" Type="http://schemas.openxmlformats.org/officeDocument/2006/relationships/hyperlink" Target="https://v.douyin.com/i2RS3sn4/ 5@1.com" TargetMode="External"/><Relationship Id="rId2" Type="http://schemas.openxmlformats.org/officeDocument/2006/relationships/hyperlink" Target="https://v.douyin.com/LWd4PfQ/" TargetMode="External"/><Relationship Id="rId19" Type="http://schemas.openxmlformats.org/officeDocument/2006/relationships/hyperlink" Target="https://v.douyin.com/EoRCNC/" TargetMode="External"/><Relationship Id="rId18" Type="http://schemas.openxmlformats.org/officeDocument/2006/relationships/hyperlink" Target="https://v.douyin.com/Mso7q78/" TargetMode="External"/><Relationship Id="rId17" Type="http://schemas.openxmlformats.org/officeDocument/2006/relationships/hyperlink" Target="https://v.douyin.com/idgFtebK/" TargetMode="External"/><Relationship Id="rId16" Type="http://schemas.openxmlformats.org/officeDocument/2006/relationships/hyperlink" Target="https://v.douyin.com/idbgpq8H/" TargetMode="External"/><Relationship Id="rId15" Type="http://schemas.openxmlformats.org/officeDocument/2006/relationships/hyperlink" Target="https://v.douyin.com/hL3oFpS/" TargetMode="External"/><Relationship Id="rId14" Type="http://schemas.openxmlformats.org/officeDocument/2006/relationships/hyperlink" Target="https://v.douyin.com/A8oV6Rg/" TargetMode="External"/><Relationship Id="rId13" Type="http://schemas.openxmlformats.org/officeDocument/2006/relationships/hyperlink" Target="https://v.douyin.com/ie2bqhFJ/" TargetMode="External"/><Relationship Id="rId12" Type="http://schemas.openxmlformats.org/officeDocument/2006/relationships/hyperlink" Target="https://v.douyin.com/iJsMgCaF/" TargetMode="External"/><Relationship Id="rId11" Type="http://schemas.openxmlformats.org/officeDocument/2006/relationships/hyperlink" Target="https://v.douyin.com/d92Ym7m/" TargetMode="External"/><Relationship Id="rId10" Type="http://schemas.openxmlformats.org/officeDocument/2006/relationships/hyperlink" Target="https://v.douyin.com/iCQLdBJ/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99" Type="http://schemas.openxmlformats.org/officeDocument/2006/relationships/hyperlink" Target="https://pgy.xiaohongshu.com/solar/pre-trade/blogger-detail/5b5d36c7e8ac2b35b1e6213d?track_id=" TargetMode="External"/><Relationship Id="rId98" Type="http://schemas.openxmlformats.org/officeDocument/2006/relationships/hyperlink" Target="https://www.xiaohongshu.com/user/profile/5b5d36c7e8ac2b35b1e6213d?xsec_token=YBEepMIBK0zQl-4EoDBDhFSBp6V1pAbYYDR-B5Msn_vVA=&amp;xsec_source=app_share&amp;xhsshare=CopyLink&amp;appuid=5f6887c9000000000100b2fc&amp;apptime=1752820243&amp;share_id=cdd7a7183a7d41f289decdc3a8373b29" TargetMode="External"/><Relationship Id="rId97" Type="http://schemas.openxmlformats.org/officeDocument/2006/relationships/hyperlink" Target="https://pgy.xiaohongshu.com/solar/pre-trade/blogger-detail/5c45ebaa000000001200329e?track_id=kolSearch_9d9ee6e9b8ba4d7388a1ed4c03d910d5&amp;source=Advertiser_Kol" TargetMode="External"/><Relationship Id="rId96" Type="http://schemas.openxmlformats.org/officeDocument/2006/relationships/hyperlink" Target="https://www.xiaohongshu.com/user/profile/5c45ebaa000000001200329e?xsec_token=YBsiOG2ebavLhZJW98-L4nmYd90amYoH0Q5uj6ZIlEbrc=&amp;xsec_source=app_share&amp;xhsshare=CopyLink&amp;appuid=5f6887c9000000000100b2fc&amp;apptime=1750659247&amp;share_id=b27eb940d3854fa088e551b6f711bc1e" TargetMode="External"/><Relationship Id="rId95" Type="http://schemas.openxmlformats.org/officeDocument/2006/relationships/hyperlink" Target="https://www.xiaohongshu.com/user/profile/62efa5f7000000001f005b9a?xsec_token=YBd-vS5sMOuCxh9m-6YHFO4uiMN2r-upH5aaCEF_Q33Ms=&amp;xsec_source=app_share&amp;xhsshare=CopyLink&amp;appuid=5f6887c9000000000100b2fc&amp;apptime=1749543031&amp;share_id=ed0cb645c4b24686ba1737e9868cbca2" TargetMode="External"/><Relationship Id="rId94" Type="http://schemas.openxmlformats.org/officeDocument/2006/relationships/hyperlink" Target="https://pgy.xiaohongshu.com/solar/pre-trade/blogger-detail/62efa5f7000000001f005b9a?track_id=kolSearch_62241b1dd4594800a7785e1e3f10022c&amp;source=Advertiser_Kol" TargetMode="External"/><Relationship Id="rId93" Type="http://schemas.openxmlformats.org/officeDocument/2006/relationships/hyperlink" Target="https://pgy.xiaohongshu.com/solar/pre-trade/blogger-detail/5e5b7cfc0000000001008cc9?track_id=kolSearch_6b5730c78d854c8f8faea2ad6e85c415&amp;source=Advertiser_Kol" TargetMode="External"/><Relationship Id="rId92" Type="http://schemas.openxmlformats.org/officeDocument/2006/relationships/hyperlink" Target="https://www.xiaohongshu.com/user/profile/5e5b7cfc0000000001008cc9?xsec_token=YBbKKN6nVkufj08exnHTM2ZjSXanzjAeJv16sdRtVOIHQ=&amp;xsec_source=app_share&amp;xhsshare=CopyLink&amp;appuid=5f6887c9000000000100b2fc&amp;apptime=1742541405&amp;share_id=d7bb17681d794c69b09453de08d40d1e" TargetMode="External"/><Relationship Id="rId91" Type="http://schemas.openxmlformats.org/officeDocument/2006/relationships/hyperlink" Target="https://www.xiaohongshu.com/user/profile/5bb1fa139cb8ac00010e9eb6?xsec_token=YBDUZ4c5dcRd_UcofHvuhGrjkoio2q83NCeGSNsncG5E0=&amp;xsec_source=app_share&amp;xhsshare=CopyLink&amp;appuid=5f6887c9000000000100b2fc&amp;apptime=1741680725&amp;share_id=46d09b047e754326a2f7c6016fc59d94" TargetMode="External"/><Relationship Id="rId90" Type="http://schemas.openxmlformats.org/officeDocument/2006/relationships/hyperlink" Target="https://pgy.xiaohongshu.com/solar/pre-trade/blogger-detail/5bb1fa139cb8ac00010e9eb6?track_id=" TargetMode="External"/><Relationship Id="rId9" Type="http://schemas.openxmlformats.org/officeDocument/2006/relationships/hyperlink" Target="https://www.xiaohongshu.com/user/profile/5f2e0669000000000101c68b?language=zh-CN" TargetMode="External"/><Relationship Id="rId89" Type="http://schemas.openxmlformats.org/officeDocument/2006/relationships/hyperlink" Target="https://pgy.xiaohongshu.com/solar/pre-trade/blogger-detail/61e6675f0000000010009eae?track_id=" TargetMode="External"/><Relationship Id="rId88" Type="http://schemas.openxmlformats.org/officeDocument/2006/relationships/hyperlink" Target="https://pgy.xiaohongshu.com/solar/pre-trade/blogger-detail/58ca16696a6a69748a40c696?track_id=kolSearch_1689b999699e4ce5a4f961b85cdcb912&amp;source=Advertiser_Kol" TargetMode="External"/><Relationship Id="rId87" Type="http://schemas.openxmlformats.org/officeDocument/2006/relationships/hyperlink" Target="https://www.xiaohongshu.com/user/profile/61e6675f0000000010009eae?xsec_token=YB2s8l_V2djyIJyBQa5RhPCuoJYQ7-LXmiZab8AlHuakw=&amp;xsec_source=app_share&amp;xhsshare=CopyLink&amp;appuid=5f6887c9000000000100b2fc&amp;apptime=1739338351&amp;share_id=53ed135c0c7b4467ae6c6c23e888e222" TargetMode="External"/><Relationship Id="rId86" Type="http://schemas.openxmlformats.org/officeDocument/2006/relationships/hyperlink" Target="https://www.xiaohongshu.com/user/profile/58ca16696a6a69748a40c696" TargetMode="External"/><Relationship Id="rId85" Type="http://schemas.openxmlformats.org/officeDocument/2006/relationships/hyperlink" Target="https://pgy.xiaohongshu.com/solar/pre-trade/blogger-detail/5cb427010000000017018af8?track_id=kolSearch_ab957022be6744d494f8577207c844f9&amp;source=Advertiser_Kol" TargetMode="External"/><Relationship Id="rId84" Type="http://schemas.openxmlformats.org/officeDocument/2006/relationships/hyperlink" Target="https://pgy.xiaohongshu.com/solar/pre-trade/blogger-detail/5fd1ec020000000001006b13?track_id=kolSearch_7e9d11a4e305418d8c5f4c52fd234ca4&amp;source=Advertiser_Kol" TargetMode="External"/><Relationship Id="rId83" Type="http://schemas.openxmlformats.org/officeDocument/2006/relationships/hyperlink" Target="https://pgy.xiaohongshu.com/solar/pre-trade/blogger-detail/63246d3a00000000230275e1?track_id=kolSearch_db75c6afaca64d6c96f30897f7874ac9&amp;source=Advertiser_Kol" TargetMode="External"/><Relationship Id="rId82" Type="http://schemas.openxmlformats.org/officeDocument/2006/relationships/hyperlink" Target="https://pgy.xiaohongshu.com/solar/pre-trade/blogger-detail/60ab06f4000000000101f416?track_id=kolSearch_ca875e20646f47188b653093cc06d6ec&amp;source=Advertiser_Kol" TargetMode="External"/><Relationship Id="rId81" Type="http://schemas.openxmlformats.org/officeDocument/2006/relationships/hyperlink" Target="https://pgy.xiaohongshu.com/solar/pre-trade/blogger-detail/5b88b4da0d26190001bfd0e8?track_id=kolSearch_bce217027a71405d9fc4804dadb17e0c&amp;source=Advertiser_Kol" TargetMode="External"/><Relationship Id="rId80" Type="http://schemas.openxmlformats.org/officeDocument/2006/relationships/hyperlink" Target="https://pgy.xiaohongshu.com/solar/pre-trade/blogger-detail/5c6836cc0000000011031924?track_id=kolSearch_f4e808acff004094b33d62e33fdcf8c6&amp;source=Advertiser_Kol" TargetMode="External"/><Relationship Id="rId8" Type="http://schemas.openxmlformats.org/officeDocument/2006/relationships/hyperlink" Target="https://www.xiaohongshu.com/user/profile/5f508cb8000000000100baa4?language=zh-CN" TargetMode="External"/><Relationship Id="rId79" Type="http://schemas.openxmlformats.org/officeDocument/2006/relationships/hyperlink" Target="https://pgy.xiaohongshu.com/solar/pre-trade/blogger-detail/5b2de90311be1024e027ab8c?track_id=kolSearch_3158e6a1bc47489795180c8dfe191109&amp;source=Advertiser_Kol" TargetMode="External"/><Relationship Id="rId78" Type="http://schemas.openxmlformats.org/officeDocument/2006/relationships/hyperlink" Target="https://pgy.xiaohongshu.com/solar/pre-trade/blogger-detail/60a3be24000000000100079b?track_id=kolSearch_14ecd4a02923469d883f17d502f44cf7&amp;source=Advertiser_Kol" TargetMode="External"/><Relationship Id="rId77" Type="http://schemas.openxmlformats.org/officeDocument/2006/relationships/hyperlink" Target="https://pgy.xiaohongshu.com/solar/pre-trade/blogger-detail/65850350000000001b032296?track_id=kolSearch_e5fdf4f94e694e1a9bde6a2478d7f6fc&amp;source=Advertiser_Kol" TargetMode="External"/><Relationship Id="rId76" Type="http://schemas.openxmlformats.org/officeDocument/2006/relationships/hyperlink" Target="https://pgy.xiaohongshu.com/solar/pre-trade/blogger-detail/5f31dd7e00000000010001fa?track_id=kolSearch_a1b332f63bf14fc8b280e0cb0a076565&amp;source=Advertiser_Kol" TargetMode="External"/><Relationship Id="rId75" Type="http://schemas.openxmlformats.org/officeDocument/2006/relationships/hyperlink" Target="https://pgy.xiaohongshu.com/solar/pre-trade/blogger-detail/642f09e60000000029011b9e?track_id=kolSearch_9f32b438ea584760ba43c1cf96f2fb9b&amp;source=Advertiser_Kol" TargetMode="External"/><Relationship Id="rId74" Type="http://schemas.openxmlformats.org/officeDocument/2006/relationships/hyperlink" Target="https://pgy.xiaohongshu.com/solar/pre-trade/blogger-detail/591d50e582ec397ced16b902?track_id=kolSearch_f2607d75dc404d26836275650a90d789&amp;source=Advertiser_Kol" TargetMode="External"/><Relationship Id="rId73" Type="http://schemas.openxmlformats.org/officeDocument/2006/relationships/hyperlink" Target="https://pgy.xiaohongshu.com/solar/pre-trade/blogger-detail/5b4f5fcb11be106513a09b1c?track_id=kolSearch_5898afae8ddc45e5b64749b791f59335&amp;source=Advertiser_Kol" TargetMode="External"/><Relationship Id="rId72" Type="http://schemas.openxmlformats.org/officeDocument/2006/relationships/hyperlink" Target="https://pgy.xiaohongshu.com/solar/pre-trade/blogger-detail/5fcf254b0000000001000dc1?track_id=kolSearch_6b9d38da35fa40eba6b620d4a633d09f&amp;source=Advertiser_Kol" TargetMode="External"/><Relationship Id="rId71" Type="http://schemas.openxmlformats.org/officeDocument/2006/relationships/hyperlink" Target="https://pgy.xiaohongshu.com/solar/pre-trade/blogger-detail/612f5616000000000201db0b?track_id=kolSearch_9e73eb1875e74f989bceae0bb29f7fd6&amp;source=Advertiser_Kol" TargetMode="External"/><Relationship Id="rId70" Type="http://schemas.openxmlformats.org/officeDocument/2006/relationships/hyperlink" Target="https://pgy.xiaohongshu.com/solar/pre-trade/blogger-detail/59e7011c4eacab49101c70b9?track_id=kolSearch_da08d08309704e2ca5e28ef98cf5c770&amp;source=Advertiser_Kol" TargetMode="External"/><Relationship Id="rId7" Type="http://schemas.openxmlformats.org/officeDocument/2006/relationships/hyperlink" Target="https://www.xiaohongshu.com/user/profile/60c9d9cb0000000001009e2a?language=zh-CN" TargetMode="External"/><Relationship Id="rId69" Type="http://schemas.openxmlformats.org/officeDocument/2006/relationships/hyperlink" Target="https://pgy.xiaohongshu.com/solar/pre-trade/blogger-detail/5f2e0669000000000101c68b?track_id=kolSearch_366a708dbb8a4624baf7c246bbe47c2b&amp;source=Advertiser_Kol" TargetMode="External"/><Relationship Id="rId68" Type="http://schemas.openxmlformats.org/officeDocument/2006/relationships/hyperlink" Target="https://pgy.xiaohongshu.com/solar/pre-trade/blogger-detail/5ca7791c000000001703d920?track_id=kolSearch_d3fcc24a5ddf477d979bf14e3fe5ffed&amp;source=Advertiser_Kol" TargetMode="External"/><Relationship Id="rId67" Type="http://schemas.openxmlformats.org/officeDocument/2006/relationships/hyperlink" Target="https://pgy.xiaohongshu.com/solar/pre-trade/blogger-detail/5c886d4a000000001103062a?track_id=kolSearch_aec86d67bd964e3995787b9924f8d884&amp;source=Advertiser_Kol" TargetMode="External"/><Relationship Id="rId66" Type="http://schemas.openxmlformats.org/officeDocument/2006/relationships/hyperlink" Target="https://pgy.xiaohongshu.com/solar/pre-trade/blogger-detail/5a9e4fd2e8ac2b28058cc6bc?track_id=kolSearch_3eea07c3e7a24c3f8cc3373d9bf49ae2&amp;source=Advertiser_Kol" TargetMode="External"/><Relationship Id="rId65" Type="http://schemas.openxmlformats.org/officeDocument/2006/relationships/hyperlink" Target="https://pgy.xiaohongshu.com/solar/pre-trade/blogger-detail/60c9d9cb0000000001009e2a?track_id=kolSearch_80e82a9105a04fa381f4159f3b27538e&amp;source=Advertiser_Kol" TargetMode="External"/><Relationship Id="rId64" Type="http://schemas.openxmlformats.org/officeDocument/2006/relationships/hyperlink" Target="https://pgy.xiaohongshu.com/solar/pre-trade/blogger-detail/5c9187d70000000011009340?track_id=kolSearch_3c260d82929647958415a94a180bb98d&amp;source=Advertiser_Kol" TargetMode="External"/><Relationship Id="rId63" Type="http://schemas.openxmlformats.org/officeDocument/2006/relationships/hyperlink" Target="https://pgy.xiaohongshu.com/solar/pre-trade/blogger-detail/63427e74000000001802fe3e?track_id=kolSearch_cfb71f6ef9f944f48cdbf947084baea3&amp;source=Advertiser_Kol" TargetMode="External"/><Relationship Id="rId62" Type="http://schemas.openxmlformats.org/officeDocument/2006/relationships/hyperlink" Target="https://pgy.xiaohongshu.com/solar/pre-trade/blogger-detail/5db098350000000001007ed0?track_id=kolSearch_93a5c5c9bc2b4cf7a5244a913b3a0681&amp;source=Advertiser_Kol" TargetMode="External"/><Relationship Id="rId61" Type="http://schemas.openxmlformats.org/officeDocument/2006/relationships/hyperlink" Target="https://pgy.xiaohongshu.com/solar/pre-trade/blogger-detail/5b001a854eacab46d3308d84?track_id=kolSearch_ab766fc69d734a6c911cb7086a3347fb&amp;source=Advertiser_Kol" TargetMode="External"/><Relationship Id="rId60" Type="http://schemas.openxmlformats.org/officeDocument/2006/relationships/hyperlink" Target="https://pgy.xiaohongshu.com/solar/pre-trade/blogger-detail/5ed4909b0000000001002d4f?track_id=kolSearch_34a6ace8a0a54d8bb1a4191e1c7b5e12&amp;source=Advertiser_Kol" TargetMode="External"/><Relationship Id="rId6" Type="http://schemas.openxmlformats.org/officeDocument/2006/relationships/hyperlink" Target="https://www.xiaohongshu.com/user/profile/601d48c2000000000101e66a?language=zh-CN" TargetMode="External"/><Relationship Id="rId59" Type="http://schemas.openxmlformats.org/officeDocument/2006/relationships/hyperlink" Target="https://pgy.xiaohongshu.com/solar/pre-trade/blogger-detail/5f508cb8000000000100baa4?track_id=kolSearch_61be879a4c4d4aa3b11788d1a18e6bff&amp;source=Advertiser_Kol" TargetMode="External"/><Relationship Id="rId58" Type="http://schemas.openxmlformats.org/officeDocument/2006/relationships/hyperlink" Target="https://pgy.xiaohongshu.com/solar/pre-trade/blogger-detail/5f4dde330000000001005ae2?track_id=kolSearch_899ac3c3487c49548f9d6b3634955aae&amp;source=Advertiser_Kol" TargetMode="External"/><Relationship Id="rId57" Type="http://schemas.openxmlformats.org/officeDocument/2006/relationships/hyperlink" Target="https://pgy.xiaohongshu.com/solar/pre-trade/blogger-detail/5ff947cb000000000101d8ac?track_id=kolSearch_2e20515045d445fb82f92f1edf5d58eb&amp;source=Advertiser_Kol" TargetMode="External"/><Relationship Id="rId56" Type="http://schemas.openxmlformats.org/officeDocument/2006/relationships/hyperlink" Target="https://pgy.xiaohongshu.com/solar/pre-trade/blogger-detail/5f4e07d2000000000101d5eb?track_id=kolSearch_15a6e0fabc364f898086f65ebde63732&amp;source=Advertiser_Kol" TargetMode="External"/><Relationship Id="rId55" Type="http://schemas.openxmlformats.org/officeDocument/2006/relationships/hyperlink" Target="https://pgy.xiaohongshu.com/solar/pre-trade/blogger-detail/60afd8b00000000001008d94?track_id=kolSearch_bf55ff7945af48ff9d4168c02a229a35&amp;source=Advertiser_Kol" TargetMode="External"/><Relationship Id="rId54" Type="http://schemas.openxmlformats.org/officeDocument/2006/relationships/hyperlink" Target="https://pgy.xiaohongshu.com/solar/pre-trade/blogger-detail/5853e9eda9b2ed73234f183f?track_id=kolSearch_1d6bf66ef0354be9855e6f3d257388ac&amp;source=Advertiser_Kol" TargetMode="External"/><Relationship Id="rId53" Type="http://schemas.openxmlformats.org/officeDocument/2006/relationships/hyperlink" Target="https://pgy.xiaohongshu.com/solar/pre-trade/blogger-detail/5fa362a30000000001000747?track_id=kolSearch_29ad4d6b12c840b4b88a7efc15e5f424&amp;source=Advertiser_Kol" TargetMode="External"/><Relationship Id="rId52" Type="http://schemas.openxmlformats.org/officeDocument/2006/relationships/hyperlink" Target="https://pgy.xiaohongshu.com/solar/pre-trade/blogger-detail/5a026bc94eacab345d40800b?track_id=kolSearch_621d32718c224318be729c41e4b3f0f2&amp;source=Advertiser_Kol" TargetMode="External"/><Relationship Id="rId51" Type="http://schemas.openxmlformats.org/officeDocument/2006/relationships/hyperlink" Target="https://pgy.xiaohongshu.com/solar/pre-trade/blogger-detail/5a813a144eacab5b9d72c400?track_id=kolSearch_a6b116f5d0f1473faccb5233122861d9&amp;source=Advertiser_Kol" TargetMode="External"/><Relationship Id="rId50" Type="http://schemas.openxmlformats.org/officeDocument/2006/relationships/hyperlink" Target="https://pgy.xiaohongshu.com/solar/pre-trade/blogger-detail/5d9c4619000000000100b1c0?track_id=kolSearch_0c134ff113144bb3bd24c1c8e40c9910&amp;source=Advertiser_Kol" TargetMode="External"/><Relationship Id="rId5" Type="http://schemas.openxmlformats.org/officeDocument/2006/relationships/hyperlink" Target="https://www.xiaohongshu.com/user/profile/5fbf55ac00000000010054ec?language=zh-CN" TargetMode="External"/><Relationship Id="rId49" Type="http://schemas.openxmlformats.org/officeDocument/2006/relationships/hyperlink" Target="https://pgy.xiaohongshu.com/solar/pre-trade/blogger-detail/61a60fe70000000010005673?track_id=kolSearch_4e0020d93e8f4404af08b7b167ef41dd&amp;source=Advertiser_Kol" TargetMode="External"/><Relationship Id="rId48" Type="http://schemas.openxmlformats.org/officeDocument/2006/relationships/hyperlink" Target="https://pgy.xiaohongshu.com/solar/pre-trade/blogger-detail/5876137c82ec392876477d49?track_id=kolSearch_69ed0984c006499aadca3a698fa54920&amp;source=Advertiser_Kol" TargetMode="External"/><Relationship Id="rId47" Type="http://schemas.openxmlformats.org/officeDocument/2006/relationships/hyperlink" Target="https://pgy.xiaohongshu.com/solar/pre-trade/blogger-detail/5bb2ee2cbb1c740001fb8731?track_id=kolSearch_645edcebb0e6403993bfd65c04c7f79f&amp;source=Advertiser_Kol" TargetMode="External"/><Relationship Id="rId46" Type="http://schemas.openxmlformats.org/officeDocument/2006/relationships/hyperlink" Target="https://pgy.xiaohongshu.com/solar/pre-trade/blogger-detail/5fbf55ac00000000010054ec?track_id=kolSearch_a8e059b9d6fc4b2ca7c93b6ec5369a22&amp;source=Advertiser_Kol" TargetMode="External"/><Relationship Id="rId45" Type="http://schemas.openxmlformats.org/officeDocument/2006/relationships/hyperlink" Target="https://pgy.xiaohongshu.com/solar/pre-trade/blogger-detail/601d48c2000000000101e66a?track_id=kolSearch_daa082264a03422989c91a4da391e036&amp;source=Advertiser_Kol" TargetMode="External"/><Relationship Id="rId44" Type="http://schemas.openxmlformats.org/officeDocument/2006/relationships/hyperlink" Target="https://pgy.xiaohongshu.com/solar/pre-trade/blogger-detail/5fc9c5480000000001004b0e?track_id=kolSearch_6ac73a13dbea4ce99c688d37b52ebfe9&amp;source=Advertiser_Kol" TargetMode="External"/><Relationship Id="rId43" Type="http://schemas.openxmlformats.org/officeDocument/2006/relationships/hyperlink" Target="https://www.xiaohongshu.com/user/profile/5fd1ec020000000001006b13?xhsshare=CopyLink&amp;appuid=5bb0616f7d87110001b9d058&amp;apptime=1660629721" TargetMode="External"/><Relationship Id="rId42" Type="http://schemas.openxmlformats.org/officeDocument/2006/relationships/hyperlink" Target="https://www.xiaohongshu.com/user/profile/5a813a144eacab5b9d72c400?xhsshare=CopyLink&amp;appuid=5f6887c9000000000100b2fc&amp;apptime=1723700841&amp;share_id=704b384e90fa4a349ec425d10d3c571b" TargetMode="External"/><Relationship Id="rId41" Type="http://schemas.openxmlformats.org/officeDocument/2006/relationships/hyperlink" Target="https://www.xiaohongshu.com/user/profile/5d9c4619000000000100b1c0?xhsshare=CopyLink&amp;appuid=5f6887c9000000000100b2fc&amp;apptime=1691991561" TargetMode="External"/><Relationship Id="rId40" Type="http://schemas.openxmlformats.org/officeDocument/2006/relationships/hyperlink" Target="https://www.xiaohongshu.com/user/profile/65850350000000001b032296?xhsshare=CopyLink&amp;appuid=5f6887c9000000000100b2fc&amp;apptime=1716184285" TargetMode="External"/><Relationship Id="rId4" Type="http://schemas.openxmlformats.org/officeDocument/2006/relationships/hyperlink" Target="https://www.xiaohongshu.com/user/profile/5c886d4a000000001103062a?language=zh-CN" TargetMode="External"/><Relationship Id="rId39" Type="http://schemas.openxmlformats.org/officeDocument/2006/relationships/hyperlink" Target="https://www.xiaohongshu.com/user/profile/642f09e60000000029011b9e?xhsshare=CopyLink&amp;appuid=5f6887c9000000000100b2fc&amp;apptime=1713341457" TargetMode="External"/><Relationship Id="rId38" Type="http://schemas.openxmlformats.org/officeDocument/2006/relationships/hyperlink" Target="https://www.xiaohongshu.com/user/profile/5a026bc94eacab345d40800b?xhsshare=CopyLink&amp;appuid=5f6887c9000000000100b2fc&amp;apptime=1706512965" TargetMode="External"/><Relationship Id="rId37" Type="http://schemas.openxmlformats.org/officeDocument/2006/relationships/hyperlink" Target="https://www.xiaohongshu.com/user/profile/60ab06f4000000000101f416?xhsshare=CopyLink&amp;appuid=5f6887c9000000000100b2fc&amp;apptime=1704441598" TargetMode="External"/><Relationship Id="rId36" Type="http://schemas.openxmlformats.org/officeDocument/2006/relationships/hyperlink" Target="https://www.xiaohongshu.com/user/profile/59e7011c4eacab49101c70b9?xhsshare=CopyLink&amp;appuid=5f6887c9000000000100b2fc&amp;apptime=1701743935" TargetMode="External"/><Relationship Id="rId35" Type="http://schemas.openxmlformats.org/officeDocument/2006/relationships/hyperlink" Target="https://www.xiaohongshu.com/user/profile/5f4e07d2000000000101d5eb?xhsshare=CopyLink&amp;appuid=5f6887c9000000000100b2fc&amp;apptime=1699496214" TargetMode="External"/><Relationship Id="rId34" Type="http://schemas.openxmlformats.org/officeDocument/2006/relationships/hyperlink" Target="https://www.xiaohongshu.com/user/profile/5ca7791c000000001703d920?xhsshare=CopyLink&amp;appuid=5f6887c9000000000100b2fc&amp;apptime=1698031379" TargetMode="External"/><Relationship Id="rId33" Type="http://schemas.openxmlformats.org/officeDocument/2006/relationships/hyperlink" Target="https://www.xiaohongshu.com/user/profile/63246d3a00000000230275e1?xhsshare=CopyLink&amp;appuid=5f6887c9000000000100b2fc&amp;apptime=1697786233" TargetMode="External"/><Relationship Id="rId32" Type="http://schemas.openxmlformats.org/officeDocument/2006/relationships/hyperlink" Target="https://www.xiaohongshu.com/user/profile/5fc9c5480000000001004b0e?xhsshare=CopyLink&amp;appuid=5f6887c9000000000100b2fc&amp;apptime=1692700093" TargetMode="External"/><Relationship Id="rId31" Type="http://schemas.openxmlformats.org/officeDocument/2006/relationships/hyperlink" Target="https://www.xiaohongshu.com/user/profile/5f4dde330000000001005ae2?xhsshare=CopyLink&amp;appuid=5f6887c9000000000100b2fc&amp;apptime=1692254448" TargetMode="External"/><Relationship Id="rId30" Type="http://schemas.openxmlformats.org/officeDocument/2006/relationships/hyperlink" Target="https://www.xiaohongshu.com/user/profile/5bb2ee2cbb1c740001fb8731?xhsshare=CopyLink&amp;appuid=5f6887c9000000000100b2fc&amp;apptime=1691569990" TargetMode="External"/><Relationship Id="rId3" Type="http://schemas.openxmlformats.org/officeDocument/2006/relationships/hyperlink" Target="https://www.xiaohongshu.com/user/profile/5b001a854eacab46d3308d84?language=zh-CN" TargetMode="External"/><Relationship Id="rId29" Type="http://schemas.openxmlformats.org/officeDocument/2006/relationships/hyperlink" Target="https://www.xiaohongshu.com/user/profile/60afd8b00000000001008d94?xhsshare=CopyLink&amp;appuid=5f6887c9000000000100b2fc&amp;apptime=1690434083" TargetMode="External"/><Relationship Id="rId28" Type="http://schemas.openxmlformats.org/officeDocument/2006/relationships/hyperlink" Target="https://www.xiaohongshu.com/user/profile/5c9187d70000000011009340?xhsshare=CopyLink&amp;appuid=5f6887c9000000000100b2fc&amp;apptime=1689591526" TargetMode="External"/><Relationship Id="rId27" Type="http://schemas.openxmlformats.org/officeDocument/2006/relationships/hyperlink" Target="https://www.xiaohongshu.com/user/profile/5f31dd7e00000000010001fa?xhsshare=CopyLink&amp;appuid=5f6887c9000000000100b2fc&amp;apptime=1688612831" TargetMode="External"/><Relationship Id="rId26" Type="http://schemas.openxmlformats.org/officeDocument/2006/relationships/hyperlink" Target="https://www.xiaohongshu.com/user/profile/5fcf254b0000000001000dc1?xhsshare=CopyLink&amp;appuid=5f6887c9000000000100b2fc&amp;apptime=1685499908" TargetMode="External"/><Relationship Id="rId25" Type="http://schemas.openxmlformats.org/officeDocument/2006/relationships/hyperlink" Target="https://www.xiaohongshu.com/user/profile/5ff947cb000000000101d8ac?xhsshare=CopyLink&amp;appuid=5f6887c9000000000100b2fc&amp;apptime=1684128014" TargetMode="External"/><Relationship Id="rId24" Type="http://schemas.openxmlformats.org/officeDocument/2006/relationships/hyperlink" Target="https://www.xiaohongshu.com/user/profile/591d50e582ec397ced16b902?xhsshare=CopyLink&amp;appuid=5f6887c9000000000100b2fc&amp;apptime=1682411995" TargetMode="External"/><Relationship Id="rId23" Type="http://schemas.openxmlformats.org/officeDocument/2006/relationships/hyperlink" Target="https://www.xiaohongshu.com/user/profile/5876137c82ec392876477d49?xhsshare=CopyLink&amp;appuid=5876137c82ec392876477d49&amp;apptime=1559476421" TargetMode="External"/><Relationship Id="rId22" Type="http://schemas.openxmlformats.org/officeDocument/2006/relationships/hyperlink" Target="https://www.xiaohongshu.com/user/profile/5b2de90311be1024e027ab8c?xhsshare=CopyLink&amp;appuid=5f6887c9000000000100b2fc&amp;apptime=1679989323" TargetMode="External"/><Relationship Id="rId21" Type="http://schemas.openxmlformats.org/officeDocument/2006/relationships/hyperlink" Target="https://www.xiaohongshu.com/user/profile/5b88b4da0d26190001bfd0e8?xhsshare=CopyLink&amp;appuid=5f6887c9000000000100b2fc&amp;apptime=1676623879" TargetMode="External"/><Relationship Id="rId20" Type="http://schemas.openxmlformats.org/officeDocument/2006/relationships/hyperlink" Target="https://www.xiaohongshu.com/user/profile/63427e74000000001802fe3e?xhsshare=CopyLink&amp;appuid=5f6887c9000000000100b2fc&amp;apptime=1669968325" TargetMode="External"/><Relationship Id="rId2" Type="http://schemas.openxmlformats.org/officeDocument/2006/relationships/hyperlink" Target="https://www.xiaohongshu.com/user/profile/5cb427010000000017018af8?language=zh-CN" TargetMode="External"/><Relationship Id="rId19" Type="http://schemas.openxmlformats.org/officeDocument/2006/relationships/hyperlink" Target="https://www.xiaohongshu.com/user/profile/5c6836cc0000000011031924?xhsshare=CopyLink&amp;appuid=5f6887c9000000000100b2fc&amp;apptime=1668403653" TargetMode="External"/><Relationship Id="rId18" Type="http://schemas.openxmlformats.org/officeDocument/2006/relationships/hyperlink" Target="https://www.xiaohongshu.com/user/profile/5db098350000000001007ed0?xhsshare=CopyLink&amp;appuid=5f6887c9000000000100b2fc&amp;apptime=1666677324" TargetMode="External"/><Relationship Id="rId17" Type="http://schemas.openxmlformats.org/officeDocument/2006/relationships/hyperlink" Target="https://www.xiaohongshu.com/user/profile/60a3be24000000000100079b?xhsshare=CopyLink&amp;appuid=5f6887c9000000000100b2fc&amp;apptime=1665987318" TargetMode="External"/><Relationship Id="rId16" Type="http://schemas.openxmlformats.org/officeDocument/2006/relationships/hyperlink" Target="https://www.xiaohongshu.com/user/profile/5853e9eda9b2ed73234f183f?xhsshare=CopyLink&amp;appuid=5f6887c9000000000100b2fc&amp;apptime=1665557077" TargetMode="External"/><Relationship Id="rId15" Type="http://schemas.openxmlformats.org/officeDocument/2006/relationships/hyperlink" Target="https://www.xiaohongshu.com/user/profile/5a9e4fd2e8ac2b28058cc6bc?xhsshare=CopyLink&amp;appuid=5bb0616f7d87110001b9d058&amp;apptime=1660629996" TargetMode="External"/><Relationship Id="rId14" Type="http://schemas.openxmlformats.org/officeDocument/2006/relationships/hyperlink" Target="https://www.xiaohongshu.com/user/profile/61a60fe70000000010005673?xhsshare=CopyLink&amp;appuid=5abb1ddc4eacab7df3804e90&amp;apptime=1646106950" TargetMode="External"/><Relationship Id="rId13" Type="http://schemas.openxmlformats.org/officeDocument/2006/relationships/hyperlink" Target="https://www.xiaohongshu.com/user/profile/5b4f5fcb11be106513a09b1c" TargetMode="External"/><Relationship Id="rId12" Type="http://schemas.openxmlformats.org/officeDocument/2006/relationships/hyperlink" Target="https://www.xiaohongshu.com/user/profile/612f5616000000000201db0b?language=zh-CN" TargetMode="External"/><Relationship Id="rId11" Type="http://schemas.openxmlformats.org/officeDocument/2006/relationships/hyperlink" Target="https://www.xiaohongshu.com/user/profile/5ed4909b0000000001002d4f?language=zh-CN" TargetMode="External"/><Relationship Id="rId104" Type="http://schemas.openxmlformats.org/officeDocument/2006/relationships/hyperlink" Target="https://pgy.xiaohongshu.com/solar/pre-trade/blogger-detail/63135ed0000000001200e086?track_id=" TargetMode="External"/><Relationship Id="rId103" Type="http://schemas.openxmlformats.org/officeDocument/2006/relationships/hyperlink" Target="https://xhslink.com/m/5UgcvtObNbD" TargetMode="External"/><Relationship Id="rId102" Type="http://schemas.openxmlformats.org/officeDocument/2006/relationships/hyperlink" Target="https://pgy.xiaohongshu.com/solar/pre-trade/blogger-detail/63a6fc520000000027029c8d?track_id=" TargetMode="External"/><Relationship Id="rId101" Type="http://schemas.openxmlformats.org/officeDocument/2006/relationships/hyperlink" Target="https://www.xiaohongshu.com/user/profile/63a6fc520000000027029c8d?xsec_token=YBMKUE5zHWtuVK9CJ4WxAUL4awILuSztcKGMn6ESd9LG0=&amp;xsec_source=app_share&amp;xhsshare=CopyLink&amp;appuid=5f6887c9000000000100b2fc&amp;apptime=1754877284&amp;share_id=af149f03946845b1b5f6d29b9273ef69" TargetMode="External"/><Relationship Id="rId100" Type="http://schemas.openxmlformats.org/officeDocument/2006/relationships/hyperlink" Target="https://www.xiaohongshu.com/user/profile/6178e364000000001f0386d1?xsec_token=YBQJZAZCsBmKOQNdleZn1Y1FWNdUlZCwV0QNxLjb-Lf_U=&amp;xsec_source=app_share&amp;xhsshare=CopyLink&amp;appuid=5f6887c9000000000100b2fc&amp;apptime=1753955757&amp;share_id=b46535965ac34929a7087838894f56ba" TargetMode="External"/><Relationship Id="rId10" Type="http://schemas.openxmlformats.org/officeDocument/2006/relationships/hyperlink" Target="https://www.xiaohongshu.com/user/profile/5fa362a30000000001000747?language=zh-CN" TargetMode="Externa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7" Type="http://schemas.openxmlformats.org/officeDocument/2006/relationships/hyperlink" Target="https://is.snssdk.com/motor/ugc/profile.html?link_source=share&amp;the_user_id=997944708048468" TargetMode="External"/><Relationship Id="rId6" Type="http://schemas.openxmlformats.org/officeDocument/2006/relationships/hyperlink" Target="https://is.snssdk.com/motor/ugc/profile.html?link_source=share&amp;the_user_id=73208712518" TargetMode="External"/><Relationship Id="rId5" Type="http://schemas.openxmlformats.org/officeDocument/2006/relationships/hyperlink" Target="https://is.snssdk.com/motor/ugc/profile.html?link_source=share&amp;the_user_id=7258424528" TargetMode="External"/><Relationship Id="rId4" Type="http://schemas.openxmlformats.org/officeDocument/2006/relationships/hyperlink" Target="https://is.snssdk.com/motor/ugc/profile.html?link_source=share&amp;the_user_id=104402962924" TargetMode="External"/><Relationship Id="rId3" Type="http://schemas.openxmlformats.org/officeDocument/2006/relationships/hyperlink" Target="https://is.snssdk.com/motor/ugc/profile.html?link_source=share&amp;the_user_id=3413348012532631" TargetMode="External"/><Relationship Id="rId2" Type="http://schemas.openxmlformats.org/officeDocument/2006/relationships/hyperlink" Target="https://is.snssdk.com/motor/ugc/profile.html?link_source=share&amp;the_user_id=997974094390888" TargetMode="Externa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hyperlink" Target="https://live.kuaishou.com/profile/Jinbo9805" TargetMode="External"/><Relationship Id="rId8" Type="http://schemas.openxmlformats.org/officeDocument/2006/relationships/hyperlink" Target="https://live.kuaishou.com/profile/3xbn4pn987uua5q" TargetMode="External"/><Relationship Id="rId7" Type="http://schemas.openxmlformats.org/officeDocument/2006/relationships/hyperlink" Target="https://live.kuaishou.com/profile/Dahuangh" TargetMode="External"/><Relationship Id="rId6" Type="http://schemas.openxmlformats.org/officeDocument/2006/relationships/hyperlink" Target="https://live.kuaishou.com/profile/yaner957" TargetMode="External"/><Relationship Id="rId5" Type="http://schemas.openxmlformats.org/officeDocument/2006/relationships/hyperlink" Target="https://live.kuaishou.com/profile/Roududu1998z" TargetMode="External"/><Relationship Id="rId4" Type="http://schemas.openxmlformats.org/officeDocument/2006/relationships/hyperlink" Target="https://live.kuaishou.com/profile/Handsomeht" TargetMode="External"/><Relationship Id="rId3" Type="http://schemas.openxmlformats.org/officeDocument/2006/relationships/hyperlink" Target="https://live.kuaishou.com/profile/CbkaXiaoBo" TargetMode="External"/><Relationship Id="rId29" Type="http://schemas.openxmlformats.org/officeDocument/2006/relationships/hyperlink" Target="https://v.kuaishou.com/KIJDmKoP" TargetMode="External"/><Relationship Id="rId28" Type="http://schemas.openxmlformats.org/officeDocument/2006/relationships/hyperlink" Target="https://live.kuaishou.com/profile/3xt6e7ftwjievc4" TargetMode="External"/><Relationship Id="rId27" Type="http://schemas.openxmlformats.org/officeDocument/2006/relationships/hyperlink" Target="https://v.kuaishou.com/iTF8WX" TargetMode="External"/><Relationship Id="rId26" Type="http://schemas.openxmlformats.org/officeDocument/2006/relationships/hyperlink" Target="https://v.kuaishou.com/kpTXgm" TargetMode="External"/><Relationship Id="rId25" Type="http://schemas.openxmlformats.org/officeDocument/2006/relationships/hyperlink" Target="https://live.kuaishou.com/profile/Thesmallyear" TargetMode="External"/><Relationship Id="rId24" Type="http://schemas.openxmlformats.org/officeDocument/2006/relationships/hyperlink" Target="https://live.kuaishou.com/profile/ygxdwl666" TargetMode="External"/><Relationship Id="rId23" Type="http://schemas.openxmlformats.org/officeDocument/2006/relationships/hyperlink" Target="https://live.kuaishou.com/profile/3xjjzysswd2hqqm" TargetMode="External"/><Relationship Id="rId22" Type="http://schemas.openxmlformats.org/officeDocument/2006/relationships/hyperlink" Target="https://live.kuaishou.com/profile/KK13881688" TargetMode="External"/><Relationship Id="rId21" Type="http://schemas.openxmlformats.org/officeDocument/2006/relationships/hyperlink" Target="https://live.kuaishou.com/profile/A77777774_" TargetMode="External"/><Relationship Id="rId20" Type="http://schemas.openxmlformats.org/officeDocument/2006/relationships/hyperlink" Target="https://live.kuaishou.com/profile/3xqsxy7pk7b3rq9" TargetMode="External"/><Relationship Id="rId2" Type="http://schemas.openxmlformats.org/officeDocument/2006/relationships/hyperlink" Target="https://live.kuaishou.com/profile/3xi4apqvqnf7g7y" TargetMode="External"/><Relationship Id="rId19" Type="http://schemas.openxmlformats.org/officeDocument/2006/relationships/hyperlink" Target="https://live.kuaishou.com/profile/3xj78c5x4zubde9" TargetMode="External"/><Relationship Id="rId18" Type="http://schemas.openxmlformats.org/officeDocument/2006/relationships/hyperlink" Target="https://live.kuaishou.com/profile/xrr888006" TargetMode="External"/><Relationship Id="rId17" Type="http://schemas.openxmlformats.org/officeDocument/2006/relationships/hyperlink" Target="https://live.kuaishou.com/profile/yihang112244" TargetMode="External"/><Relationship Id="rId16" Type="http://schemas.openxmlformats.org/officeDocument/2006/relationships/hyperlink" Target="https://live.kuaishou.com/profile/Xiaxia977" TargetMode="External"/><Relationship Id="rId15" Type="http://schemas.openxmlformats.org/officeDocument/2006/relationships/hyperlink" Target="https://live.kuaishou.com/profile/Gao1791896837" TargetMode="External"/><Relationship Id="rId14" Type="http://schemas.openxmlformats.org/officeDocument/2006/relationships/hyperlink" Target="https://live.kuaishou.com/profile/bigefeixi" TargetMode="External"/><Relationship Id="rId13" Type="http://schemas.openxmlformats.org/officeDocument/2006/relationships/hyperlink" Target="https://live.kuaishou.com/profile/zhousanshi0818" TargetMode="External"/><Relationship Id="rId12" Type="http://schemas.openxmlformats.org/officeDocument/2006/relationships/hyperlink" Target="https://live.kuaishou.com/profile/wutangnaicha23" TargetMode="External"/><Relationship Id="rId11" Type="http://schemas.openxmlformats.org/officeDocument/2006/relationships/hyperlink" Target="https://live.kuaishou.com/profile/xxy1129xy" TargetMode="External"/><Relationship Id="rId10" Type="http://schemas.openxmlformats.org/officeDocument/2006/relationships/hyperlink" Target="https://live.kuaishou.com/profile/xiaodudu20181208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hyperlink" Target="https://space.bilibili.com/501663225?spm_id_from=333.337.0.0" TargetMode="External"/><Relationship Id="rId8" Type="http://schemas.openxmlformats.org/officeDocument/2006/relationships/hyperlink" Target="https://space.bilibili.com/1972786116?spm_id_from=333.337.0.0" TargetMode="External"/><Relationship Id="rId7" Type="http://schemas.openxmlformats.org/officeDocument/2006/relationships/hyperlink" Target="https://space.bilibili.com/1443466116?spm_id_from=333.337.0.0" TargetMode="External"/><Relationship Id="rId6" Type="http://schemas.openxmlformats.org/officeDocument/2006/relationships/hyperlink" Target="https://space.bilibili.com/1476802359?spm_id_from=333.337.0.0" TargetMode="External"/><Relationship Id="rId5" Type="http://schemas.openxmlformats.org/officeDocument/2006/relationships/hyperlink" Target="https://space.bilibili.com/1171192768?spm_id_from=333.337.0.0" TargetMode="External"/><Relationship Id="rId4" Type="http://schemas.openxmlformats.org/officeDocument/2006/relationships/hyperlink" Target="https://space.bilibili.com/2069267165?spm_id_from=333.337.0.0" TargetMode="External"/><Relationship Id="rId3" Type="http://schemas.openxmlformats.org/officeDocument/2006/relationships/hyperlink" Target="https://space.bilibili.com/1752056466?spm_id_from=333.337.0.0" TargetMode="External"/><Relationship Id="rId2" Type="http://schemas.openxmlformats.org/officeDocument/2006/relationships/hyperlink" Target="https://space.bilibili.com/30139938?spm_id_from=333.337.0.0" TargetMode="External"/><Relationship Id="rId14" Type="http://schemas.openxmlformats.org/officeDocument/2006/relationships/hyperlink" Target="https://b23.tv/5RDMxVH" TargetMode="External"/><Relationship Id="rId13" Type="http://schemas.openxmlformats.org/officeDocument/2006/relationships/hyperlink" Target="https://space.bilibili.com/3494370374322460?spm_id_from=333.337.0.0" TargetMode="External"/><Relationship Id="rId12" Type="http://schemas.openxmlformats.org/officeDocument/2006/relationships/hyperlink" Target="https://space.bilibili.com/1376579261?spm_id_from=333.337.0.0" TargetMode="External"/><Relationship Id="rId11" Type="http://schemas.openxmlformats.org/officeDocument/2006/relationships/hyperlink" Target="https://space.bilibili.com/438538373?spm_id_from=333.337.0.0" TargetMode="External"/><Relationship Id="rId10" Type="http://schemas.openxmlformats.org/officeDocument/2006/relationships/hyperlink" Target="https://space.bilibili.com/686354330?spm_id_from=333.337.0.0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hyperlink" Target="https://v.douyin.com/NYLfLoo/" TargetMode="External"/><Relationship Id="rId85" Type="http://schemas.openxmlformats.org/officeDocument/2006/relationships/hyperlink" Target="https://www.xingtu.cn/ad/creator/author-homepage/douyin-video/6894600608431472640?market_track_id=TVMBBD6DFZ3H97QQ0N06&amp;search_session_id=7506430716956180521&amp;video_type=2&amp;_route_from=from_page%3DMarket%26search_session_id%3D7506430716956180521%26is_for_order%3D1%26market_track_id%3DTVMBBD6DFZ3H97QQ0N06%26platform_source%3D1%26key%3D%25E4%25B8%2580%25E4%25B8%25AA%25E7%25BE%258E%25E5%25B0%2591%25E9%25B9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4" Type="http://schemas.openxmlformats.org/officeDocument/2006/relationships/hyperlink" Target="https://v.douyin.com/BbNG319/" TargetMode="External"/><Relationship Id="rId83" Type="http://schemas.openxmlformats.org/officeDocument/2006/relationships/hyperlink" Target="https://www.xingtu.cn/ad/creator/author-homepage/douyin-video/7270472015461482554?market_track_id=YRQZCKGS6C6XRPVJ5T7Y&amp;search_session_id=7550220784732897316&amp;possessStarId" TargetMode="External"/><Relationship Id="rId82" Type="http://schemas.openxmlformats.org/officeDocument/2006/relationships/hyperlink" Target="https://www.xingtu.cn/ad/creator/author-homepage/douyin-video/7283823086028193803?market_track_id=2LT707YXXASNCHJM9C3E&amp;search_session_id=7550220625697620010&amp;possessStarId" TargetMode="External"/><Relationship Id="rId81" Type="http://schemas.openxmlformats.org/officeDocument/2006/relationships/hyperlink" Target="https://www.xingtu.cn/ad/creator/author-homepage/douyin-video/7062567598881243151?market_track_id=JH9AXT9UZ5CVRQUTBKEH&amp;search_session_id=7550220484609982506&amp;possessStarId" TargetMode="External"/><Relationship Id="rId80" Type="http://schemas.openxmlformats.org/officeDocument/2006/relationships/hyperlink" Target="https://www.xingtu.cn/ad/creator/author-homepage/douyin-video/7281638336735739943?market_track_id=8GK099J7N7JPB8RYHF8U&amp;search_session_id=7550220054031089703&amp;possessStarId" TargetMode="External"/><Relationship Id="rId8" Type="http://schemas.openxmlformats.org/officeDocument/2006/relationships/hyperlink" Target="https://v.douyin.com/Nxd9ASM/" TargetMode="External"/><Relationship Id="rId79" Type="http://schemas.openxmlformats.org/officeDocument/2006/relationships/hyperlink" Target="https://www.xingtu.cn/ad/creator/author-homepage/douyin-video/6870164604043919367?market_track_id=KCUK9D94UPOOJ5HYMO6W&amp;search_session_id=7550219973672501291&amp;possessStarId" TargetMode="External"/><Relationship Id="rId78" Type="http://schemas.openxmlformats.org/officeDocument/2006/relationships/hyperlink" Target="https://www.xingtu.cn/ad/creator/author-homepage/douyin-video/7001886618818707491?market_track_id=PA8P24MD9ZNXK2NVY5FY&amp;search_session_id=7550219864423481387&amp;possessStarId" TargetMode="External"/><Relationship Id="rId77" Type="http://schemas.openxmlformats.org/officeDocument/2006/relationships/hyperlink" Target="https://www.xingtu.cn/ad/creator/author-homepage/douyin-video/6742066222692565006?market_track_id=FZADQ8CXP9WR64C04VUF&amp;search_session_id=7550219814963724307&amp;possessStarId" TargetMode="External"/><Relationship Id="rId76" Type="http://schemas.openxmlformats.org/officeDocument/2006/relationships/hyperlink" Target="https://www.xingtu.cn/ad/creator/author-homepage/douyin-video/6870162535404797965?market_track_id=K1Y6UN6CBDFD07ZPM7F4&amp;search_session_id=7550219598248968246&amp;possessStarId" TargetMode="External"/><Relationship Id="rId75" Type="http://schemas.openxmlformats.org/officeDocument/2006/relationships/hyperlink" Target="https://www.xingtu.cn/ad/creator/author-homepage/douyin-video/6696322364461809672?market_track_id=M6EWHH08FJHCIL1ZSS64&amp;search_session_id=7550219449585025087&amp;possessStarId" TargetMode="External"/><Relationship Id="rId74" Type="http://schemas.openxmlformats.org/officeDocument/2006/relationships/hyperlink" Target="https://www.xingtu.cn/ad/creator/author-homepage/douyin-video/6677157331165249539?market_track_id=TC09IWAFYQRVSS5KRSSL&amp;search_session_id=7550219394329231403&amp;possessStarId" TargetMode="External"/><Relationship Id="rId73" Type="http://schemas.openxmlformats.org/officeDocument/2006/relationships/hyperlink" Target="https://www.xingtu.cn/ad/creator/author-homepage/douyin-video/6857897954808692750?market_track_id=HWN95LTAQCHX7FK4HG2R&amp;search_session_id=7550219239991771179&amp;possessStarId" TargetMode="External"/><Relationship Id="rId72" Type="http://schemas.openxmlformats.org/officeDocument/2006/relationships/hyperlink" Target="https://www.xingtu.cn/ad/creator/author-homepage/douyin-video/6629661007348236302?market_track_id=FFE8SV4SP2U10W5XYRKU&amp;search_session_id=7550219239991345195&amp;possessStarId" TargetMode="External"/><Relationship Id="rId71" Type="http://schemas.openxmlformats.org/officeDocument/2006/relationships/hyperlink" Target="https://www.xingtu.cn/ad/creator/author-homepage/douyin-video/6752283658423369736?market_track_id=QBTA8M6RSOE4YX5DOC9T&amp;search_session_id=7550219048241184822&amp;possessStarId" TargetMode="External"/><Relationship Id="rId70" Type="http://schemas.openxmlformats.org/officeDocument/2006/relationships/hyperlink" Target="https://www.xingtu.cn/ad/creator/author-homepage/douyin-video/6596679478083059716?market_track_id=YRGBT4HZY5V5CK4RMLOT&amp;search_session_id=7550219100434202643&amp;possessStarId" TargetMode="External"/><Relationship Id="rId7" Type="http://schemas.openxmlformats.org/officeDocument/2006/relationships/hyperlink" Target="https://v.douyin.com/e1dnU3C/" TargetMode="External"/><Relationship Id="rId69" Type="http://schemas.openxmlformats.org/officeDocument/2006/relationships/hyperlink" Target="https://www.xingtu.cn/ad/creator/author-homepage/douyin-video/6870164886391881736?market_track_id=3FH7KLPJGOFGX0PPVEEQ&amp;search_session_id=7550219048240283702&amp;possessStarId" TargetMode="External"/><Relationship Id="rId68" Type="http://schemas.openxmlformats.org/officeDocument/2006/relationships/hyperlink" Target="https://www.xingtu.cn/ad/creator/author-homepage/douyin-video/7237162630903758881?market_track_id=K0JCD31RB8NPRC5GRY4H&amp;search_session_id=7550218956808880170&amp;possessStarId" TargetMode="External"/><Relationship Id="rId67" Type="http://schemas.openxmlformats.org/officeDocument/2006/relationships/hyperlink" Target="https://www.xingtu.cn/ad/creator/author-homepage/douyin-video/6629723424748994564?market_track_id=YXGB38SFJ1L77C44WCD0&amp;search_session_id=7550218778458472511&amp;possessStarId" TargetMode="External"/><Relationship Id="rId66" Type="http://schemas.openxmlformats.org/officeDocument/2006/relationships/hyperlink" Target="https://www.xingtu.cn/ad/creator/author-homepage/douyin-video/6640252091245789188?market_track_id=JNL5RRSOVC13VRKRVW2N&amp;search_session_id=7550218554697433107&amp;possessStarId" TargetMode="External"/><Relationship Id="rId65" Type="http://schemas.openxmlformats.org/officeDocument/2006/relationships/hyperlink" Target="https://www.xingtu.cn/ad/creator/author-homepage/douyin-video/6793167491402039303?market_track_id=7F8A7KC1KF4UKHWNALGM&amp;search_session_id=7550218554697007123&amp;possessStarId" TargetMode="External"/><Relationship Id="rId64" Type="http://schemas.openxmlformats.org/officeDocument/2006/relationships/hyperlink" Target="https://www.xingtu.cn/ad/creator/author-homepage/douyin-video/6939042595356016652?market_track_id=RLBNH1FQESPB8C52YN6Q&amp;search_session_id=7550218385226334251&amp;possessStarId" TargetMode="External"/><Relationship Id="rId63" Type="http://schemas.openxmlformats.org/officeDocument/2006/relationships/hyperlink" Target="https://www.xingtu.cn/ad/creator/author-homepage/douyin-video/6870171692560285704?market_track_id=PKGA9TFTOJ2PF6UVNROI&amp;search_session_id=7550218365831479337&amp;possessStarId" TargetMode="External"/><Relationship Id="rId62" Type="http://schemas.openxmlformats.org/officeDocument/2006/relationships/hyperlink" Target="https://www.xingtu.cn/ad/creator/author-homepage/douyin-video/6870161239037706253?market_track_id=KGDOIV1C637VKVSO8BCI&amp;search_session_id=7550218122440671274&amp;possessStarId" TargetMode="External"/><Relationship Id="rId61" Type="http://schemas.openxmlformats.org/officeDocument/2006/relationships/hyperlink" Target="https://www.xingtu.cn/ad/creator/author-homepage/douyin-video/6746850933226864648?market_track_id=37LQJRA8RFLWA1W5KMPR&amp;search_session_id=7550218188709986367&amp;possessStarId&amp;active_tab=content_performance&amp;active_module=.content-video-list-panel&amp;content_key_word=%E9%AA%86%E8%BE%BE%E5%8D%8E" TargetMode="External"/><Relationship Id="rId60" Type="http://schemas.openxmlformats.org/officeDocument/2006/relationships/hyperlink" Target="https://www.xingtu.cn/ad/creator/author-homepage/douyin-video/6615821710526513155?market_track_id=J9CDG8ZG8UK9OYQGJ5M5&amp;search_session_id=7550217578959552566&amp;possessStarId" TargetMode="External"/><Relationship Id="rId6" Type="http://schemas.openxmlformats.org/officeDocument/2006/relationships/hyperlink" Target="https://v.douyin.com/e1dopKv/" TargetMode="External"/><Relationship Id="rId59" Type="http://schemas.openxmlformats.org/officeDocument/2006/relationships/hyperlink" Target="https://www.xingtu.cn/ad/creator/author-homepage/douyin-video/6800827006318542862?market_track_id=WGDIPUY8NR4CR015XCAO&amp;search_session_id=7550217227611275305&amp;possessStarId" TargetMode="External"/><Relationship Id="rId58" Type="http://schemas.openxmlformats.org/officeDocument/2006/relationships/hyperlink" Target="https://www.xingtu.cn/ad/creator/author-homepage/douyin-video/6760484915038388231?market_track_id=D2I814U0YF0H0S78V4NX&amp;search_session_id=7550217255607664679&amp;possessStarId" TargetMode="External"/><Relationship Id="rId57" Type="http://schemas.openxmlformats.org/officeDocument/2006/relationships/hyperlink" Target="https://www.xingtu.cn/ad/creator/author-homepage/douyin-video/6771687805455171592?market_track_id=BH5AYQ2H363H7JB3I40B&amp;search_session_id=7550217227610570793&amp;possessStarId" TargetMode="External"/><Relationship Id="rId56" Type="http://schemas.openxmlformats.org/officeDocument/2006/relationships/hyperlink" Target="https://www.xingtu.cn/ad/creator/author-homepage/douyin-video/6871549993585475587?market_track_id=RH48477MKB1VR1UNYGCS&amp;search_session_id=7550217075030884391&amp;possessStarId" TargetMode="External"/><Relationship Id="rId55" Type="http://schemas.openxmlformats.org/officeDocument/2006/relationships/hyperlink" Target="https://www.xingtu.cn/ad/creator/author-homepage/douyin-video/7055186462358110239?market_track_id=0S6MHXHBLH5VC2WLNDJ2&amp;search_session_id=7550217075030540327&amp;possessStarId" TargetMode="External"/><Relationship Id="rId54" Type="http://schemas.openxmlformats.org/officeDocument/2006/relationships/hyperlink" Target="https://www.xingtu.cn/ad/creator/author-homepage/douyin-video/6975046900315602952?market_track_id=ZRCHHS6E7TF880DRTDWR&amp;search_session_id=7550217075030278183&amp;possessStarId" TargetMode="External"/><Relationship Id="rId53" Type="http://schemas.openxmlformats.org/officeDocument/2006/relationships/hyperlink" Target="https://www.xingtu.cn/ad/creator/author-homepage/douyin-video/7166195684566122527?market_track_id=6WOEC7LBA7M44FGNOW6D&amp;search_session_id=7550216883361103914&amp;possessStarId" TargetMode="External"/><Relationship Id="rId52" Type="http://schemas.openxmlformats.org/officeDocument/2006/relationships/hyperlink" Target="https://www.xingtu.cn/ad/creator/author-homepage/douyin-video/6870160278256877575?market_track_id=3LL79BGB9UFX09DG0NHY&amp;search_session_id=7550216925402562596&amp;possessStarId" TargetMode="External"/><Relationship Id="rId51" Type="http://schemas.openxmlformats.org/officeDocument/2006/relationships/hyperlink" Target="https://www.xingtu.cn/ad/creator/author-homepage/douyin-video/6810311904263667719?market_track_id=26ZQGJM6ARET41LHTQMT&amp;search_session_id=7550216389245009961&amp;possessStarId" TargetMode="External"/><Relationship Id="rId50" Type="http://schemas.openxmlformats.org/officeDocument/2006/relationships/hyperlink" Target="https://www.xingtu.cn/ad/creator/author-homepage/douyin-video/7300476344071110693?market_track_id=715DEKOOY6EFZPKN3OS6&amp;search_session_id=7550216179446022183&amp;possessStarId" TargetMode="External"/><Relationship Id="rId5" Type="http://schemas.openxmlformats.org/officeDocument/2006/relationships/hyperlink" Target="https://v.douyin.com/e18x2s1/" TargetMode="External"/><Relationship Id="rId49" Type="http://schemas.openxmlformats.org/officeDocument/2006/relationships/hyperlink" Target="https://www.xingtu.cn/ad/creator/author-homepage/douyin-video/7118636721230577700?market_track_id=3VV5ZBKXKBMKIPIX3IZH&amp;search_session_id=7550215159429333031&amp;possessStarId" TargetMode="External"/><Relationship Id="rId48" Type="http://schemas.openxmlformats.org/officeDocument/2006/relationships/hyperlink" Target="https://www.xingtu.cn/ad/creator/author-homepage/douyin-video/6801043323701166093?market_track_id=WRWTEVNZUU1314FZAKXZ&amp;search_session_id=7550215047575666724&amp;possessStarId" TargetMode="External"/><Relationship Id="rId47" Type="http://schemas.openxmlformats.org/officeDocument/2006/relationships/hyperlink" Target="https://www.xingtu.cn/ad/creator/author-homepage/douyin-video/6596679498022780936?market_track_id=OT328YAVVPOJZEPAV52J&amp;search_session_id=7550215036942712851&amp;possessStarId" TargetMode="External"/><Relationship Id="rId46" Type="http://schemas.openxmlformats.org/officeDocument/2006/relationships/hyperlink" Target="https://www.xingtu.cn/ad/creator/author-homepage/douyin-video/7128380987993489438?market_track_id=3XWNK7LWA21OEENNFR80&amp;search_session_id=7550214870017998891&amp;possessStarId" TargetMode="External"/><Relationship Id="rId45" Type="http://schemas.openxmlformats.org/officeDocument/2006/relationships/hyperlink" Target="https://www.xingtu.cn/ad/creator/author-homepage/douyin-video/6813232546902458375?market_track_id=BVDKVPFUAWIVRPM3WPB2&amp;search_session_id=7550214842054377491&amp;possessStarId" TargetMode="External"/><Relationship Id="rId44" Type="http://schemas.openxmlformats.org/officeDocument/2006/relationships/hyperlink" Target="https://www.xingtu.cn/ad/creator/author-homepage/douyin-video/6596677802471194632?market_track_id=7K3P848J94AIY0B8HVXG&amp;search_session_id=7550214716455993398&amp;possessStarId" TargetMode="External"/><Relationship Id="rId43" Type="http://schemas.openxmlformats.org/officeDocument/2006/relationships/hyperlink" Target="https://www.xingtu.cn/ad/creator/author-homepage/douyin-video/7076403130594033678?market_track_id=P8TI4U0ZI419EIVFDDYY&amp;search_session_id=7550213941088731178&amp;possessStarId" TargetMode="External"/><Relationship Id="rId42" Type="http://schemas.openxmlformats.org/officeDocument/2006/relationships/hyperlink" Target="https://v.douyin.com/mQXUpIr3xO0/" TargetMode="External"/><Relationship Id="rId41" Type="http://schemas.openxmlformats.org/officeDocument/2006/relationships/hyperlink" Target="https://v.douyin.com/JSacLxr/" TargetMode="External"/><Relationship Id="rId40" Type="http://schemas.openxmlformats.org/officeDocument/2006/relationships/hyperlink" Target="https://v.douyin.com/C2FPaiMOprM/" TargetMode="External"/><Relationship Id="rId4" Type="http://schemas.openxmlformats.org/officeDocument/2006/relationships/hyperlink" Target="https://v.douyin.com/eaRJPHe/" TargetMode="External"/><Relationship Id="rId39" Type="http://schemas.openxmlformats.org/officeDocument/2006/relationships/hyperlink" Target="https://v.douyin.com/iY85wBRt/" TargetMode="External"/><Relationship Id="rId38" Type="http://schemas.openxmlformats.org/officeDocument/2006/relationships/hyperlink" Target="https://v.douyin.com/e1doPyC/" TargetMode="External"/><Relationship Id="rId37" Type="http://schemas.openxmlformats.org/officeDocument/2006/relationships/hyperlink" Target="https://v.douyin.com/hqXeQ5d/" TargetMode="External"/><Relationship Id="rId36" Type="http://schemas.openxmlformats.org/officeDocument/2006/relationships/hyperlink" Target="https://v.douyin.com/M3spsCWS4Tc/" TargetMode="External"/><Relationship Id="rId35" Type="http://schemas.openxmlformats.org/officeDocument/2006/relationships/hyperlink" Target="https://v.douyin.com/vP3VmxRgiLI/" TargetMode="External"/><Relationship Id="rId34" Type="http://schemas.openxmlformats.org/officeDocument/2006/relationships/hyperlink" Target="https://v.douyin.com/i8cKAwaa/ 8@0.com" TargetMode="External"/><Relationship Id="rId33" Type="http://schemas.openxmlformats.org/officeDocument/2006/relationships/hyperlink" Target="https://v.douyin.com/idjuYaHy/" TargetMode="External"/><Relationship Id="rId32" Type="http://schemas.openxmlformats.org/officeDocument/2006/relationships/hyperlink" Target="https://v.douyin.com/iJW1TXLv/" TargetMode="External"/><Relationship Id="rId31" Type="http://schemas.openxmlformats.org/officeDocument/2006/relationships/hyperlink" Target="https://v.douyin.com/FswYnjx/" TargetMode="External"/><Relationship Id="rId30" Type="http://schemas.openxmlformats.org/officeDocument/2006/relationships/hyperlink" Target="https://v.douyin.com/i2nY4afF/" TargetMode="External"/><Relationship Id="rId3" Type="http://schemas.openxmlformats.org/officeDocument/2006/relationships/hyperlink" Target="https://v.douyin.com/88tpRCb/" TargetMode="External"/><Relationship Id="rId29" Type="http://schemas.openxmlformats.org/officeDocument/2006/relationships/hyperlink" Target="https://v.douyin.com/nthyDT/" TargetMode="External"/><Relationship Id="rId28" Type="http://schemas.openxmlformats.org/officeDocument/2006/relationships/hyperlink" Target="https://v.douyin.com/i8aCMmDk/" TargetMode="External"/><Relationship Id="rId27" Type="http://schemas.openxmlformats.org/officeDocument/2006/relationships/hyperlink" Target="https://v.douyin.com/eNCkcEU/" TargetMode="External"/><Relationship Id="rId26" Type="http://schemas.openxmlformats.org/officeDocument/2006/relationships/hyperlink" Target="https://v.douyin.com/DDtQneX/" TargetMode="External"/><Relationship Id="rId25" Type="http://schemas.openxmlformats.org/officeDocument/2006/relationships/hyperlink" Target="https://v.douyin.com/yFCq9y3/" TargetMode="External"/><Relationship Id="rId24" Type="http://schemas.openxmlformats.org/officeDocument/2006/relationships/hyperlink" Target="https://v.douyin.com/yNkevye/" TargetMode="External"/><Relationship Id="rId23" Type="http://schemas.openxmlformats.org/officeDocument/2006/relationships/hyperlink" Target="https://v.douyin.com/A4Wbyjf/" TargetMode="External"/><Relationship Id="rId22" Type="http://schemas.openxmlformats.org/officeDocument/2006/relationships/hyperlink" Target="https://v.douyin.com/6YgpP71/" TargetMode="External"/><Relationship Id="rId21" Type="http://schemas.openxmlformats.org/officeDocument/2006/relationships/hyperlink" Target="https://v.douyin.com/rfgepnY/" TargetMode="External"/><Relationship Id="rId20" Type="http://schemas.openxmlformats.org/officeDocument/2006/relationships/hyperlink" Target="https://v.douyin.com/2W7nbwM/" TargetMode="External"/><Relationship Id="rId2" Type="http://schemas.openxmlformats.org/officeDocument/2006/relationships/hyperlink" Target="https://v.douyin.com/KgqDkX/" TargetMode="External"/><Relationship Id="rId19" Type="http://schemas.openxmlformats.org/officeDocument/2006/relationships/hyperlink" Target="https://v.douyin.com/hRNGF1m/" TargetMode="External"/><Relationship Id="rId18" Type="http://schemas.openxmlformats.org/officeDocument/2006/relationships/hyperlink" Target="https://v.douyin.com/M2Vyncu/" TargetMode="External"/><Relationship Id="rId17" Type="http://schemas.openxmlformats.org/officeDocument/2006/relationships/hyperlink" Target="https://v.douyin.com/r9u5aCX/" TargetMode="External"/><Relationship Id="rId16" Type="http://schemas.openxmlformats.org/officeDocument/2006/relationships/hyperlink" Target="https://v.douyin.com/rBBM3qN/" TargetMode="External"/><Relationship Id="rId15" Type="http://schemas.openxmlformats.org/officeDocument/2006/relationships/hyperlink" Target="https://v.douyin.com/MGD2ddg/" TargetMode="External"/><Relationship Id="rId14" Type="http://schemas.openxmlformats.org/officeDocument/2006/relationships/hyperlink" Target="https://v.douyin.com/M9X4uma/" TargetMode="External"/><Relationship Id="rId13" Type="http://schemas.openxmlformats.org/officeDocument/2006/relationships/hyperlink" Target="https://v.douyin.com/M24DLmv/" TargetMode="External"/><Relationship Id="rId12" Type="http://schemas.openxmlformats.org/officeDocument/2006/relationships/hyperlink" Target="https://v.douyin.com/jcNSUkH/" TargetMode="External"/><Relationship Id="rId11" Type="http://schemas.openxmlformats.org/officeDocument/2006/relationships/hyperlink" Target="https://v.douyin.com/2UXTXty/" TargetMode="External"/><Relationship Id="rId10" Type="http://schemas.openxmlformats.org/officeDocument/2006/relationships/hyperlink" Target="https://v.douyin.com/2YyFKRa/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5"/>
  <sheetViews>
    <sheetView workbookViewId="0">
      <selection activeCell="B1" sqref="B1:L1"/>
    </sheetView>
  </sheetViews>
  <sheetFormatPr defaultColWidth="9.81666666666667" defaultRowHeight="16.5"/>
  <cols>
    <col min="1" max="1" width="6" style="251" customWidth="1"/>
    <col min="2" max="6" width="9" style="251"/>
    <col min="7" max="7" width="10.3583333333333" style="251" customWidth="1"/>
    <col min="8" max="8" width="12.6416666666667" style="251" customWidth="1"/>
    <col min="9" max="11" width="9" style="251"/>
    <col min="12" max="12" width="30.5416666666667" style="251" customWidth="1"/>
    <col min="13" max="16379" width="9" style="251"/>
    <col min="16380" max="16384" width="9.81666666666667" style="251"/>
  </cols>
  <sheetData>
    <row r="1" s="251" customFormat="1" ht="30" customHeight="1" spans="1:19">
      <c r="A1" s="252"/>
      <c r="B1" s="253" t="s">
        <v>0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2"/>
      <c r="N1" s="252"/>
      <c r="O1" s="252"/>
      <c r="P1" s="252"/>
      <c r="Q1" s="252"/>
      <c r="R1" s="252"/>
      <c r="S1" s="252"/>
    </row>
    <row r="2" s="251" customFormat="1" ht="12" customHeight="1" spans="1:19">
      <c r="A2" s="252"/>
      <c r="B2" s="255"/>
      <c r="C2" s="256"/>
      <c r="D2" s="256"/>
      <c r="E2" s="256"/>
      <c r="F2" s="256"/>
      <c r="G2" s="256"/>
      <c r="H2" s="256"/>
      <c r="I2" s="256"/>
      <c r="J2" s="256"/>
      <c r="K2" s="256"/>
      <c r="L2" s="280"/>
      <c r="M2" s="252"/>
      <c r="N2" s="252"/>
      <c r="O2" s="252"/>
      <c r="P2" s="252"/>
      <c r="Q2" s="252"/>
      <c r="R2" s="252"/>
      <c r="S2" s="252"/>
    </row>
    <row r="3" s="251" customFormat="1" ht="12" customHeight="1" spans="1:19">
      <c r="A3" s="252"/>
      <c r="B3" s="257"/>
      <c r="C3" s="258"/>
      <c r="D3" s="258"/>
      <c r="E3" s="258"/>
      <c r="F3" s="258"/>
      <c r="G3" s="258"/>
      <c r="H3" s="258"/>
      <c r="I3" s="258"/>
      <c r="J3" s="258"/>
      <c r="K3" s="258"/>
      <c r="L3" s="281"/>
      <c r="M3" s="252"/>
      <c r="N3" s="252"/>
      <c r="O3" s="252"/>
      <c r="P3" s="252"/>
      <c r="Q3" s="252"/>
      <c r="R3" s="252"/>
      <c r="S3" s="252"/>
    </row>
    <row r="4" s="251" customFormat="1" ht="12" customHeight="1" spans="1:19">
      <c r="A4" s="252"/>
      <c r="B4" s="257"/>
      <c r="C4" s="258"/>
      <c r="D4" s="258"/>
      <c r="E4" s="258"/>
      <c r="F4" s="258"/>
      <c r="G4" s="258"/>
      <c r="H4" s="258"/>
      <c r="I4" s="258"/>
      <c r="J4" s="258"/>
      <c r="K4" s="258"/>
      <c r="L4" s="281"/>
      <c r="M4" s="252"/>
      <c r="N4" s="252"/>
      <c r="O4" s="252"/>
      <c r="P4" s="252"/>
      <c r="Q4" s="252"/>
      <c r="R4" s="252"/>
      <c r="S4" s="252"/>
    </row>
    <row r="5" s="251" customFormat="1" ht="11.15" customHeight="1" spans="1:19">
      <c r="A5" s="252"/>
      <c r="B5" s="257"/>
      <c r="C5" s="258"/>
      <c r="D5" s="258"/>
      <c r="E5" s="258"/>
      <c r="F5" s="258"/>
      <c r="G5" s="258"/>
      <c r="H5" s="258"/>
      <c r="I5" s="258"/>
      <c r="J5" s="258"/>
      <c r="K5" s="258"/>
      <c r="L5" s="281"/>
      <c r="M5" s="252"/>
      <c r="N5" s="252"/>
      <c r="O5" s="252"/>
      <c r="P5" s="252"/>
      <c r="Q5" s="252"/>
      <c r="R5" s="252"/>
      <c r="S5" s="252"/>
    </row>
    <row r="6" s="251" customFormat="1" ht="9" customHeight="1" spans="1:19">
      <c r="A6" s="252"/>
      <c r="B6" s="257"/>
      <c r="C6" s="258"/>
      <c r="D6" s="258"/>
      <c r="E6" s="258"/>
      <c r="F6" s="258"/>
      <c r="G6" s="258"/>
      <c r="H6" s="258"/>
      <c r="I6" s="258"/>
      <c r="J6" s="258"/>
      <c r="K6" s="258"/>
      <c r="L6" s="281"/>
      <c r="M6" s="252"/>
      <c r="N6" s="252"/>
      <c r="O6" s="252"/>
      <c r="P6" s="252"/>
      <c r="Q6" s="252"/>
      <c r="R6" s="252"/>
      <c r="S6" s="252"/>
    </row>
    <row r="7" s="251" customFormat="1" ht="13" customHeight="1" spans="1:19">
      <c r="A7" s="252"/>
      <c r="B7" s="257"/>
      <c r="C7" s="258"/>
      <c r="D7" s="258"/>
      <c r="E7" s="258"/>
      <c r="F7" s="258"/>
      <c r="G7" s="258"/>
      <c r="H7" s="258"/>
      <c r="I7" s="258"/>
      <c r="J7" s="258"/>
      <c r="K7" s="258"/>
      <c r="L7" s="281"/>
      <c r="M7" s="252"/>
      <c r="N7" s="252"/>
      <c r="O7" s="252"/>
      <c r="P7" s="252"/>
      <c r="Q7" s="252"/>
      <c r="R7" s="252"/>
      <c r="S7" s="252"/>
    </row>
    <row r="8" s="251" customFormat="1" ht="19" customHeight="1" spans="1:19">
      <c r="A8" s="252"/>
      <c r="B8" s="257"/>
      <c r="C8" s="258"/>
      <c r="D8" s="258"/>
      <c r="E8" s="258"/>
      <c r="F8" s="258"/>
      <c r="G8" s="258"/>
      <c r="H8" s="258"/>
      <c r="I8" s="258"/>
      <c r="J8" s="258"/>
      <c r="K8" s="258"/>
      <c r="L8" s="281"/>
      <c r="M8" s="252"/>
      <c r="N8" s="252"/>
      <c r="O8" s="252"/>
      <c r="P8" s="252"/>
      <c r="Q8" s="252"/>
      <c r="R8" s="252"/>
      <c r="S8" s="252"/>
    </row>
    <row r="9" s="251" customFormat="1" ht="5" customHeight="1" spans="1:19">
      <c r="A9" s="252"/>
      <c r="B9" s="257"/>
      <c r="C9" s="258"/>
      <c r="D9" s="258"/>
      <c r="E9" s="258"/>
      <c r="F9" s="258"/>
      <c r="G9" s="258"/>
      <c r="H9" s="258"/>
      <c r="I9" s="258"/>
      <c r="J9" s="258"/>
      <c r="K9" s="258"/>
      <c r="L9" s="281"/>
      <c r="M9" s="252"/>
      <c r="N9" s="252"/>
      <c r="O9" s="252"/>
      <c r="P9" s="252"/>
      <c r="Q9" s="252"/>
      <c r="R9" s="252"/>
      <c r="S9" s="252"/>
    </row>
    <row r="10" s="251" customFormat="1" ht="19" hidden="1" customHeight="1" spans="1:19">
      <c r="A10" s="252"/>
      <c r="B10" s="257"/>
      <c r="C10" s="258"/>
      <c r="D10" s="258"/>
      <c r="E10" s="258"/>
      <c r="F10" s="258"/>
      <c r="G10" s="258"/>
      <c r="H10" s="258"/>
      <c r="I10" s="258"/>
      <c r="J10" s="258"/>
      <c r="K10" s="258"/>
      <c r="L10" s="281"/>
      <c r="M10" s="252"/>
      <c r="N10" s="252"/>
      <c r="O10" s="252"/>
      <c r="P10" s="252"/>
      <c r="Q10" s="252"/>
      <c r="R10" s="252"/>
      <c r="S10" s="252"/>
    </row>
    <row r="11" s="251" customFormat="1" ht="19" hidden="1" customHeight="1" spans="1:19">
      <c r="A11" s="252"/>
      <c r="B11" s="257"/>
      <c r="C11" s="258"/>
      <c r="D11" s="258"/>
      <c r="E11" s="258"/>
      <c r="F11" s="258"/>
      <c r="G11" s="258"/>
      <c r="H11" s="258"/>
      <c r="I11" s="258"/>
      <c r="J11" s="258"/>
      <c r="K11" s="258"/>
      <c r="L11" s="281"/>
      <c r="M11" s="252"/>
      <c r="N11" s="252"/>
      <c r="O11" s="252"/>
      <c r="P11" s="252"/>
      <c r="Q11" s="252"/>
      <c r="R11" s="252"/>
      <c r="S11" s="252"/>
    </row>
    <row r="12" s="251" customFormat="1" ht="19" hidden="1" customHeight="1" spans="1:19">
      <c r="A12" s="252"/>
      <c r="B12" s="257"/>
      <c r="C12" s="259"/>
      <c r="D12" s="259"/>
      <c r="E12" s="259"/>
      <c r="F12" s="259"/>
      <c r="G12" s="259"/>
      <c r="H12" s="259"/>
      <c r="I12" s="259"/>
      <c r="J12" s="259"/>
      <c r="K12" s="259"/>
      <c r="L12" s="281"/>
      <c r="M12" s="252"/>
      <c r="N12" s="252"/>
      <c r="O12" s="252"/>
      <c r="P12" s="252"/>
      <c r="Q12" s="252"/>
      <c r="R12" s="252"/>
      <c r="S12" s="252"/>
    </row>
    <row r="13" s="251" customFormat="1" ht="39" customHeight="1" spans="1:19">
      <c r="A13" s="252"/>
      <c r="B13" s="257"/>
      <c r="C13" s="259"/>
      <c r="D13" s="259"/>
      <c r="E13" s="259"/>
      <c r="F13" s="259"/>
      <c r="G13" s="259"/>
      <c r="H13" s="259"/>
      <c r="I13" s="259"/>
      <c r="J13" s="259"/>
      <c r="K13" s="259"/>
      <c r="L13" s="281"/>
      <c r="M13" s="252"/>
      <c r="N13" s="252"/>
      <c r="O13" s="252"/>
      <c r="P13" s="252"/>
      <c r="Q13" s="252"/>
      <c r="R13" s="252"/>
      <c r="S13" s="252"/>
    </row>
    <row r="14" s="251" customFormat="1" ht="24" customHeight="1" spans="1:19">
      <c r="A14" s="252"/>
      <c r="B14" s="260"/>
      <c r="C14" s="261"/>
      <c r="D14" s="261"/>
      <c r="E14" s="261"/>
      <c r="F14" s="261"/>
      <c r="G14" s="261"/>
      <c r="H14" s="261"/>
      <c r="I14" s="261"/>
      <c r="J14" s="261"/>
      <c r="K14" s="261"/>
      <c r="L14" s="282"/>
      <c r="M14" s="252"/>
      <c r="N14" s="252"/>
      <c r="O14" s="283"/>
      <c r="P14" s="283"/>
      <c r="Q14" s="252"/>
      <c r="R14" s="252"/>
      <c r="S14" s="252"/>
    </row>
    <row r="15" s="251" customFormat="1" ht="50" customHeight="1" spans="1:19">
      <c r="A15" s="252"/>
      <c r="B15" s="262" t="s">
        <v>1</v>
      </c>
      <c r="C15" s="263"/>
      <c r="D15" s="263"/>
      <c r="E15" s="263"/>
      <c r="F15" s="263"/>
      <c r="G15" s="263"/>
      <c r="H15" s="263"/>
      <c r="I15" s="263"/>
      <c r="J15" s="263"/>
      <c r="K15" s="263"/>
      <c r="L15" s="284"/>
      <c r="M15" s="252"/>
      <c r="N15" s="252"/>
      <c r="O15" s="283"/>
      <c r="P15" s="283"/>
      <c r="Q15" s="252"/>
      <c r="R15" s="252"/>
      <c r="S15" s="252"/>
    </row>
    <row r="16" s="251" customFormat="1" ht="18.75" spans="1:19">
      <c r="A16" s="252"/>
      <c r="B16" s="264" t="s">
        <v>2</v>
      </c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52"/>
      <c r="N16" s="252"/>
      <c r="O16" s="283"/>
      <c r="P16" s="283"/>
      <c r="Q16" s="252"/>
      <c r="R16" s="252"/>
      <c r="S16" s="252"/>
    </row>
    <row r="17" s="251" customFormat="1" spans="1:19">
      <c r="A17" s="252"/>
      <c r="B17" s="266" t="s">
        <v>3</v>
      </c>
      <c r="C17" s="267"/>
      <c r="D17" s="267"/>
      <c r="E17" s="267"/>
      <c r="F17" s="267"/>
      <c r="G17" s="267"/>
      <c r="H17" s="267"/>
      <c r="I17" s="267"/>
      <c r="J17" s="267"/>
      <c r="K17" s="267"/>
      <c r="L17" s="285"/>
      <c r="M17" s="252"/>
      <c r="N17" s="252"/>
      <c r="O17" s="283"/>
      <c r="P17" s="283"/>
      <c r="Q17" s="252"/>
      <c r="R17" s="252"/>
      <c r="S17" s="252"/>
    </row>
    <row r="18" s="251" customFormat="1" spans="1:19">
      <c r="A18" s="252"/>
      <c r="B18" s="268"/>
      <c r="C18" s="269"/>
      <c r="D18" s="269"/>
      <c r="E18" s="269"/>
      <c r="F18" s="269"/>
      <c r="G18" s="269"/>
      <c r="H18" s="269"/>
      <c r="I18" s="269"/>
      <c r="J18" s="269"/>
      <c r="K18" s="269"/>
      <c r="L18" s="286"/>
      <c r="M18" s="252"/>
      <c r="N18" s="252"/>
      <c r="O18" s="283"/>
      <c r="P18" s="283"/>
      <c r="Q18" s="252"/>
      <c r="R18" s="252"/>
      <c r="S18" s="252"/>
    </row>
    <row r="19" s="251" customFormat="1" spans="1:19">
      <c r="A19" s="252"/>
      <c r="B19" s="268"/>
      <c r="C19" s="269"/>
      <c r="D19" s="269"/>
      <c r="E19" s="269"/>
      <c r="F19" s="269"/>
      <c r="G19" s="269"/>
      <c r="H19" s="269"/>
      <c r="I19" s="269"/>
      <c r="J19" s="269"/>
      <c r="K19" s="269"/>
      <c r="L19" s="286"/>
      <c r="M19" s="252"/>
      <c r="N19" s="252"/>
      <c r="O19" s="252"/>
      <c r="P19" s="252"/>
      <c r="Q19" s="252"/>
      <c r="R19" s="252"/>
      <c r="S19" s="252"/>
    </row>
    <row r="20" s="251" customFormat="1" spans="1:19">
      <c r="A20" s="252"/>
      <c r="B20" s="268"/>
      <c r="C20" s="269"/>
      <c r="D20" s="269"/>
      <c r="E20" s="269"/>
      <c r="F20" s="269"/>
      <c r="G20" s="269"/>
      <c r="H20" s="269"/>
      <c r="I20" s="269"/>
      <c r="J20" s="269"/>
      <c r="K20" s="269"/>
      <c r="L20" s="286"/>
      <c r="M20" s="252"/>
      <c r="N20" s="252"/>
      <c r="O20" s="252"/>
      <c r="P20" s="252"/>
      <c r="Q20" s="252"/>
      <c r="R20" s="252"/>
      <c r="S20" s="252"/>
    </row>
    <row r="21" s="251" customFormat="1" spans="1:19">
      <c r="A21" s="252"/>
      <c r="B21" s="268"/>
      <c r="C21" s="269"/>
      <c r="D21" s="269"/>
      <c r="E21" s="269"/>
      <c r="F21" s="269"/>
      <c r="G21" s="269"/>
      <c r="H21" s="269"/>
      <c r="I21" s="269"/>
      <c r="J21" s="269"/>
      <c r="K21" s="269"/>
      <c r="L21" s="286"/>
      <c r="M21" s="252"/>
      <c r="N21" s="252"/>
      <c r="O21" s="252"/>
      <c r="P21" s="252"/>
      <c r="Q21" s="252"/>
      <c r="R21" s="252"/>
      <c r="S21" s="252"/>
    </row>
    <row r="22" s="251" customFormat="1" spans="1:19">
      <c r="A22" s="252"/>
      <c r="B22" s="268"/>
      <c r="C22" s="269"/>
      <c r="D22" s="269"/>
      <c r="E22" s="269"/>
      <c r="F22" s="269"/>
      <c r="G22" s="269"/>
      <c r="H22" s="269"/>
      <c r="I22" s="269"/>
      <c r="J22" s="269"/>
      <c r="K22" s="269"/>
      <c r="L22" s="286"/>
      <c r="M22" s="252"/>
      <c r="N22" s="252"/>
      <c r="O22" s="252"/>
      <c r="P22" s="252"/>
      <c r="Q22" s="252"/>
      <c r="R22" s="252"/>
      <c r="S22" s="252"/>
    </row>
    <row r="23" s="251" customFormat="1" ht="34" customHeight="1" spans="1:19">
      <c r="A23" s="252"/>
      <c r="B23" s="268"/>
      <c r="C23" s="269"/>
      <c r="D23" s="269"/>
      <c r="E23" s="269"/>
      <c r="F23" s="269"/>
      <c r="G23" s="269"/>
      <c r="H23" s="269"/>
      <c r="I23" s="269"/>
      <c r="J23" s="269"/>
      <c r="K23" s="269"/>
      <c r="L23" s="286"/>
      <c r="M23" s="252"/>
      <c r="N23" s="252"/>
      <c r="O23" s="252"/>
      <c r="P23" s="252"/>
      <c r="Q23" s="252"/>
      <c r="R23" s="252"/>
      <c r="S23" s="252"/>
    </row>
    <row r="24" s="251" customFormat="1" ht="19" customHeight="1" spans="1:19">
      <c r="A24" s="252"/>
      <c r="B24" s="268"/>
      <c r="C24" s="268"/>
      <c r="D24" s="268"/>
      <c r="E24" s="268"/>
      <c r="F24" s="268"/>
      <c r="G24" s="268"/>
      <c r="H24" s="268"/>
      <c r="I24" s="268"/>
      <c r="J24" s="268"/>
      <c r="K24" s="268"/>
      <c r="L24" s="287"/>
      <c r="M24" s="252"/>
      <c r="N24" s="252"/>
      <c r="O24" s="252"/>
      <c r="P24" s="252"/>
      <c r="Q24" s="252"/>
      <c r="R24" s="252"/>
      <c r="S24" s="252"/>
    </row>
    <row r="25" s="251" customFormat="1" ht="24" customHeight="1" spans="1:19">
      <c r="A25" s="252"/>
      <c r="B25" s="270"/>
      <c r="C25" s="271"/>
      <c r="D25" s="271"/>
      <c r="E25" s="271"/>
      <c r="F25" s="271"/>
      <c r="G25" s="271"/>
      <c r="H25" s="271"/>
      <c r="I25" s="271"/>
      <c r="J25" s="271"/>
      <c r="K25" s="271"/>
      <c r="L25" s="288"/>
      <c r="M25" s="252"/>
      <c r="N25" s="252"/>
      <c r="O25" s="252"/>
      <c r="P25" s="252"/>
      <c r="Q25" s="252"/>
      <c r="R25" s="252"/>
      <c r="S25" s="252"/>
    </row>
    <row r="26" s="251" customFormat="1" ht="17.25" spans="1:19">
      <c r="A26" s="252"/>
      <c r="B26" s="270"/>
      <c r="C26" s="271"/>
      <c r="D26" s="271"/>
      <c r="E26" s="271"/>
      <c r="F26" s="271"/>
      <c r="G26" s="271"/>
      <c r="H26" s="271"/>
      <c r="I26" s="271"/>
      <c r="J26" s="271"/>
      <c r="K26" s="271"/>
      <c r="L26" s="288"/>
      <c r="M26" s="252"/>
      <c r="N26" s="252"/>
      <c r="O26" s="252"/>
      <c r="P26" s="252"/>
      <c r="Q26" s="252"/>
      <c r="R26" s="252"/>
      <c r="S26" s="252"/>
    </row>
    <row r="27" s="251" customFormat="1" ht="18.75" spans="1:19">
      <c r="A27" s="252"/>
      <c r="B27" s="272" t="s">
        <v>4</v>
      </c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52"/>
      <c r="N27" s="252"/>
      <c r="O27" s="252"/>
      <c r="P27" s="252"/>
      <c r="Q27" s="252"/>
      <c r="R27" s="252"/>
      <c r="S27" s="252"/>
    </row>
    <row r="28" s="251" customFormat="1" spans="1:19">
      <c r="A28" s="252"/>
      <c r="B28" s="274" t="s">
        <v>5</v>
      </c>
      <c r="C28" s="275"/>
      <c r="D28" s="275"/>
      <c r="E28" s="275"/>
      <c r="F28" s="275"/>
      <c r="G28" s="275"/>
      <c r="H28" s="275"/>
      <c r="I28" s="275"/>
      <c r="J28" s="275"/>
      <c r="K28" s="275"/>
      <c r="L28" s="289"/>
      <c r="M28" s="252"/>
      <c r="N28" s="252"/>
      <c r="O28" s="252"/>
      <c r="P28" s="252"/>
      <c r="Q28" s="252"/>
      <c r="R28" s="252"/>
      <c r="S28" s="252"/>
    </row>
    <row r="29" s="251" customFormat="1" spans="1:19">
      <c r="A29" s="252"/>
      <c r="B29" s="276"/>
      <c r="C29" s="277"/>
      <c r="D29" s="277"/>
      <c r="E29" s="277"/>
      <c r="F29" s="277"/>
      <c r="G29" s="277"/>
      <c r="H29" s="277"/>
      <c r="I29" s="277"/>
      <c r="J29" s="277"/>
      <c r="K29" s="277"/>
      <c r="L29" s="290"/>
      <c r="M29" s="252"/>
      <c r="N29" s="252"/>
      <c r="O29" s="252"/>
      <c r="P29" s="252"/>
      <c r="Q29" s="252"/>
      <c r="R29" s="252"/>
      <c r="S29" s="252"/>
    </row>
    <row r="30" s="251" customFormat="1" spans="1:19">
      <c r="A30" s="252"/>
      <c r="B30" s="276"/>
      <c r="C30" s="277"/>
      <c r="D30" s="277"/>
      <c r="E30" s="277"/>
      <c r="F30" s="277"/>
      <c r="G30" s="277"/>
      <c r="H30" s="277"/>
      <c r="I30" s="277"/>
      <c r="J30" s="277"/>
      <c r="K30" s="277"/>
      <c r="L30" s="290"/>
      <c r="M30" s="252"/>
      <c r="N30" s="252"/>
      <c r="O30" s="252"/>
      <c r="P30" s="252"/>
      <c r="Q30" s="252"/>
      <c r="R30" s="252"/>
      <c r="S30" s="252"/>
    </row>
    <row r="31" s="251" customFormat="1" spans="1:19">
      <c r="A31" s="252"/>
      <c r="B31" s="276"/>
      <c r="C31" s="277"/>
      <c r="D31" s="277"/>
      <c r="E31" s="277"/>
      <c r="F31" s="277"/>
      <c r="G31" s="277"/>
      <c r="H31" s="277"/>
      <c r="I31" s="277"/>
      <c r="J31" s="277"/>
      <c r="K31" s="277"/>
      <c r="L31" s="290"/>
      <c r="M31" s="252"/>
      <c r="N31" s="252"/>
      <c r="O31" s="252"/>
      <c r="P31" s="252"/>
      <c r="Q31" s="252"/>
      <c r="R31" s="252"/>
      <c r="S31" s="252"/>
    </row>
    <row r="32" s="251" customFormat="1" spans="1:19">
      <c r="A32" s="252"/>
      <c r="B32" s="276"/>
      <c r="C32" s="277"/>
      <c r="D32" s="277"/>
      <c r="E32" s="277"/>
      <c r="F32" s="277"/>
      <c r="G32" s="277"/>
      <c r="H32" s="277"/>
      <c r="I32" s="277"/>
      <c r="J32" s="277"/>
      <c r="K32" s="277"/>
      <c r="L32" s="290"/>
      <c r="M32" s="252"/>
      <c r="N32" s="252"/>
      <c r="O32" s="252"/>
      <c r="P32" s="252"/>
      <c r="Q32" s="252"/>
      <c r="R32" s="252"/>
      <c r="S32" s="252"/>
    </row>
    <row r="33" s="251" customFormat="1" spans="1:19">
      <c r="A33" s="252"/>
      <c r="B33" s="276"/>
      <c r="C33" s="277"/>
      <c r="D33" s="277"/>
      <c r="E33" s="277"/>
      <c r="F33" s="277"/>
      <c r="G33" s="277"/>
      <c r="H33" s="277"/>
      <c r="I33" s="277"/>
      <c r="J33" s="277"/>
      <c r="K33" s="277"/>
      <c r="L33" s="290"/>
      <c r="M33" s="252"/>
      <c r="N33" s="252"/>
      <c r="O33" s="252"/>
      <c r="P33" s="252"/>
      <c r="Q33" s="252"/>
      <c r="R33" s="252"/>
      <c r="S33" s="252"/>
    </row>
    <row r="34" s="251" customFormat="1" spans="1:19">
      <c r="A34" s="252"/>
      <c r="B34" s="276"/>
      <c r="C34" s="277"/>
      <c r="D34" s="277"/>
      <c r="E34" s="277"/>
      <c r="F34" s="277"/>
      <c r="G34" s="277"/>
      <c r="H34" s="277"/>
      <c r="I34" s="277"/>
      <c r="J34" s="277"/>
      <c r="K34" s="277"/>
      <c r="L34" s="290"/>
      <c r="M34" s="252"/>
      <c r="N34" s="252"/>
      <c r="O34" s="252"/>
      <c r="P34" s="252"/>
      <c r="Q34" s="252"/>
      <c r="R34" s="252"/>
      <c r="S34" s="252"/>
    </row>
    <row r="35" s="251" customFormat="1" spans="1:19">
      <c r="A35" s="252"/>
      <c r="B35" s="276"/>
      <c r="C35" s="277"/>
      <c r="D35" s="277"/>
      <c r="E35" s="277"/>
      <c r="F35" s="277"/>
      <c r="G35" s="277"/>
      <c r="H35" s="277"/>
      <c r="I35" s="277"/>
      <c r="J35" s="277"/>
      <c r="K35" s="277"/>
      <c r="L35" s="290"/>
      <c r="M35" s="252"/>
      <c r="N35" s="252"/>
      <c r="O35" s="252"/>
      <c r="P35" s="252"/>
      <c r="Q35" s="252"/>
      <c r="R35" s="252"/>
      <c r="S35" s="252"/>
    </row>
    <row r="36" s="251" customFormat="1" spans="1:19">
      <c r="A36" s="252"/>
      <c r="B36" s="276"/>
      <c r="C36" s="277"/>
      <c r="D36" s="277"/>
      <c r="E36" s="277"/>
      <c r="F36" s="277"/>
      <c r="G36" s="277"/>
      <c r="H36" s="277"/>
      <c r="I36" s="277"/>
      <c r="J36" s="277"/>
      <c r="K36" s="277"/>
      <c r="L36" s="290"/>
      <c r="M36" s="252"/>
      <c r="N36" s="252"/>
      <c r="O36" s="252"/>
      <c r="P36" s="252"/>
      <c r="Q36" s="252"/>
      <c r="R36" s="252"/>
      <c r="S36" s="252"/>
    </row>
    <row r="37" s="251" customFormat="1" spans="1:19">
      <c r="A37" s="252"/>
      <c r="B37" s="276"/>
      <c r="C37" s="277"/>
      <c r="D37" s="277"/>
      <c r="E37" s="277"/>
      <c r="F37" s="277"/>
      <c r="G37" s="277"/>
      <c r="H37" s="277"/>
      <c r="I37" s="277"/>
      <c r="J37" s="277"/>
      <c r="K37" s="277"/>
      <c r="L37" s="290"/>
      <c r="M37" s="252"/>
      <c r="N37" s="252"/>
      <c r="O37" s="252"/>
      <c r="P37" s="252"/>
      <c r="Q37" s="252"/>
      <c r="R37" s="252"/>
      <c r="S37" s="252"/>
    </row>
    <row r="38" s="251" customFormat="1" ht="17.25" spans="1:19">
      <c r="A38" s="252"/>
      <c r="B38" s="278"/>
      <c r="C38" s="279"/>
      <c r="D38" s="279"/>
      <c r="E38" s="279"/>
      <c r="F38" s="279"/>
      <c r="G38" s="279"/>
      <c r="H38" s="279"/>
      <c r="I38" s="279"/>
      <c r="J38" s="279"/>
      <c r="K38" s="279"/>
      <c r="L38" s="291"/>
      <c r="M38" s="252"/>
      <c r="N38" s="252"/>
      <c r="O38" s="252"/>
      <c r="P38" s="252"/>
      <c r="Q38" s="252"/>
      <c r="R38" s="252"/>
      <c r="S38" s="252"/>
    </row>
    <row r="39" s="251" customFormat="1" spans="1:19">
      <c r="A39" s="252"/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</row>
    <row r="40" s="251" customFormat="1" spans="1:19">
      <c r="A40" s="252"/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</row>
    <row r="41" s="251" customFormat="1" spans="1:19">
      <c r="A41" s="252"/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</row>
    <row r="42" s="251" customFormat="1" spans="1:19">
      <c r="A42" s="252"/>
      <c r="B42" s="252"/>
      <c r="C42" s="252"/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2"/>
    </row>
    <row r="43" s="251" customFormat="1" spans="1:19">
      <c r="A43" s="252"/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2"/>
    </row>
    <row r="44" s="251" customFormat="1" spans="1:19">
      <c r="A44" s="252"/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</row>
    <row r="45" s="251" customFormat="1" spans="1:19">
      <c r="A45" s="252"/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  <c r="R45" s="252"/>
      <c r="S45" s="252"/>
    </row>
    <row r="46" s="251" customFormat="1" spans="1:19">
      <c r="A46" s="252"/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  <c r="R46" s="252"/>
      <c r="S46" s="252"/>
    </row>
    <row r="47" s="251" customFormat="1" spans="1:19">
      <c r="A47" s="252"/>
      <c r="B47" s="252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2"/>
      <c r="S47" s="252"/>
    </row>
    <row r="48" s="251" customFormat="1" spans="1:19">
      <c r="A48" s="252"/>
      <c r="B48" s="252"/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  <c r="R48" s="252"/>
      <c r="S48" s="252"/>
    </row>
    <row r="49" s="251" customFormat="1" spans="1:19">
      <c r="A49" s="252"/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</row>
    <row r="50" s="251" customFormat="1" spans="1:20">
      <c r="A50" s="252"/>
      <c r="B50" s="252"/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52"/>
    </row>
    <row r="51" s="251" customFormat="1" spans="1:20">
      <c r="A51" s="252"/>
      <c r="B51" s="252"/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2"/>
    </row>
    <row r="52" s="251" customFormat="1" spans="1:20">
      <c r="A52" s="252"/>
      <c r="B52" s="252"/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2"/>
    </row>
    <row r="53" s="251" customFormat="1" spans="1:20">
      <c r="A53" s="252"/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</row>
    <row r="54" s="251" customFormat="1" spans="1:20">
      <c r="A54" s="252"/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2"/>
    </row>
    <row r="55" s="251" customFormat="1" spans="1:20">
      <c r="A55" s="252"/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T55" s="252"/>
    </row>
    <row r="56" s="251" customFormat="1" spans="1:20">
      <c r="A56" s="252"/>
      <c r="B56" s="252"/>
      <c r="C56" s="252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</row>
    <row r="57" s="251" customFormat="1" spans="1:20">
      <c r="A57" s="252"/>
      <c r="B57" s="252"/>
      <c r="C57" s="252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</row>
    <row r="58" s="251" customFormat="1" spans="1:20">
      <c r="A58" s="252"/>
      <c r="B58" s="252"/>
      <c r="C58" s="252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</row>
    <row r="59" s="251" customFormat="1" spans="1:20">
      <c r="A59" s="252"/>
      <c r="B59" s="252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</row>
    <row r="60" s="251" customFormat="1" spans="1:20">
      <c r="A60" s="252"/>
      <c r="B60" s="252"/>
      <c r="C60" s="252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2"/>
    </row>
    <row r="61" s="251" customFormat="1" spans="1:20">
      <c r="A61" s="252"/>
      <c r="B61" s="252"/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</row>
    <row r="62" s="251" customFormat="1" spans="1:20">
      <c r="A62" s="252"/>
      <c r="B62" s="252"/>
      <c r="C62" s="252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</row>
    <row r="63" s="251" customFormat="1" spans="1:20">
      <c r="A63" s="252"/>
      <c r="B63" s="252"/>
      <c r="C63" s="252"/>
      <c r="D63" s="252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  <c r="R63" s="252"/>
      <c r="S63" s="252"/>
      <c r="T63" s="252"/>
    </row>
    <row r="64" s="251" customFormat="1" spans="1:20">
      <c r="A64" s="252"/>
      <c r="B64" s="252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2"/>
      <c r="S64" s="252"/>
      <c r="T64" s="252"/>
    </row>
    <row r="65" s="251" customFormat="1" spans="1:20">
      <c r="A65" s="252"/>
      <c r="B65" s="252"/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2"/>
      <c r="T65" s="252"/>
    </row>
    <row r="66" s="251" customFormat="1" spans="1:20">
      <c r="A66" s="252"/>
      <c r="B66" s="252"/>
      <c r="C66" s="252"/>
      <c r="D66" s="252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R66" s="252"/>
      <c r="S66" s="252"/>
      <c r="T66" s="252"/>
    </row>
    <row r="67" s="251" customFormat="1" spans="1:20">
      <c r="A67" s="252"/>
      <c r="B67" s="252"/>
      <c r="C67" s="252"/>
      <c r="D67" s="252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2"/>
      <c r="S67" s="252"/>
      <c r="T67" s="252"/>
    </row>
    <row r="68" s="251" customFormat="1" spans="1:20">
      <c r="A68" s="252"/>
      <c r="B68" s="252"/>
      <c r="C68" s="252"/>
      <c r="D68" s="252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2"/>
      <c r="T68" s="252"/>
    </row>
    <row r="69" s="251" customFormat="1" spans="1:20">
      <c r="A69" s="252"/>
      <c r="B69" s="252"/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  <c r="R69" s="252"/>
      <c r="S69" s="252"/>
      <c r="T69" s="252"/>
    </row>
    <row r="70" s="251" customFormat="1" spans="1:20">
      <c r="A70" s="252"/>
      <c r="B70" s="252"/>
      <c r="C70" s="252"/>
      <c r="D70" s="252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R70" s="252"/>
      <c r="S70" s="252"/>
      <c r="T70" s="252"/>
    </row>
    <row r="71" s="251" customFormat="1" spans="1:20">
      <c r="A71" s="252"/>
      <c r="B71" s="252"/>
      <c r="C71" s="252"/>
      <c r="D71" s="252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  <c r="R71" s="252"/>
      <c r="S71" s="252"/>
      <c r="T71" s="252"/>
    </row>
    <row r="72" s="251" customFormat="1" spans="1:20">
      <c r="A72" s="252"/>
      <c r="B72" s="252"/>
      <c r="C72" s="252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252"/>
    </row>
    <row r="73" s="251" customFormat="1" spans="1:20">
      <c r="A73" s="252"/>
      <c r="B73" s="252"/>
      <c r="C73" s="252"/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R73" s="252"/>
      <c r="S73" s="252"/>
      <c r="T73" s="252"/>
    </row>
    <row r="74" spans="2:12">
      <c r="B74" s="252"/>
      <c r="C74" s="252"/>
      <c r="D74" s="252"/>
      <c r="E74" s="252"/>
      <c r="F74" s="252"/>
      <c r="G74" s="252"/>
      <c r="H74" s="252"/>
      <c r="I74" s="252"/>
      <c r="J74" s="252"/>
      <c r="K74" s="252"/>
      <c r="L74" s="252"/>
    </row>
    <row r="75" spans="2:12">
      <c r="B75" s="252"/>
      <c r="C75" s="252"/>
      <c r="D75" s="252"/>
      <c r="E75" s="252"/>
      <c r="F75" s="252"/>
      <c r="G75" s="252"/>
      <c r="H75" s="252"/>
      <c r="I75" s="252"/>
      <c r="J75" s="252"/>
      <c r="K75" s="252"/>
      <c r="L75" s="252"/>
    </row>
  </sheetData>
  <mergeCells count="7">
    <mergeCell ref="B1:L1"/>
    <mergeCell ref="B15:L15"/>
    <mergeCell ref="B16:L16"/>
    <mergeCell ref="B27:L27"/>
    <mergeCell ref="B2:L14"/>
    <mergeCell ref="B17:L26"/>
    <mergeCell ref="B28:L38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5"/>
  </sheetPr>
  <dimension ref="A1:X110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E12" sqref="E12"/>
    </sheetView>
  </sheetViews>
  <sheetFormatPr defaultColWidth="9.81666666666667" defaultRowHeight="14.25"/>
  <cols>
    <col min="1" max="1" width="4.64166666666667" style="1" customWidth="1"/>
    <col min="2" max="2" width="7.625" style="2" customWidth="1"/>
    <col min="3" max="3" width="7.625" style="1" customWidth="1"/>
    <col min="4" max="4" width="14.7083333333333" style="175" customWidth="1"/>
    <col min="5" max="5" width="47.1083333333333" style="176" customWidth="1"/>
    <col min="6" max="6" width="14" style="1" customWidth="1"/>
    <col min="7" max="7" width="16.6666666666667" style="1" customWidth="1"/>
    <col min="8" max="8" width="16.1916666666667" style="4" customWidth="1"/>
    <col min="9" max="9" width="25.5833333333333" style="177" customWidth="1"/>
    <col min="10" max="10" width="22.625" style="178" customWidth="1"/>
    <col min="11" max="13" width="8" style="1" customWidth="1"/>
    <col min="14" max="16" width="12.625" style="1" customWidth="1"/>
    <col min="17" max="17" width="10.625" style="1" customWidth="1"/>
    <col min="18" max="18" width="15.625" style="161" customWidth="1"/>
    <col min="19" max="21" width="10.625" style="1" customWidth="1"/>
    <col min="22" max="22" width="18.375" style="1" customWidth="1"/>
    <col min="23" max="23" width="27.1416666666667" style="1" customWidth="1"/>
    <col min="24" max="24" width="8" style="1" customWidth="1"/>
    <col min="25" max="16381" width="9.64166666666667" style="1"/>
    <col min="16382" max="16384" width="9.81666666666667" style="1"/>
  </cols>
  <sheetData>
    <row r="1" s="1" customFormat="1" ht="70" customHeight="1" spans="1:24">
      <c r="A1" s="7" t="s">
        <v>6</v>
      </c>
      <c r="B1" s="7"/>
      <c r="C1" s="7"/>
      <c r="D1" s="7"/>
      <c r="E1" s="7"/>
      <c r="F1" s="7"/>
      <c r="G1" s="7"/>
      <c r="H1" s="7"/>
      <c r="I1" s="210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="168" customFormat="1" ht="30" customHeight="1" spans="1:24">
      <c r="A2" s="179" t="s">
        <v>7</v>
      </c>
      <c r="B2" s="180" t="s">
        <v>8</v>
      </c>
      <c r="C2" s="180" t="s">
        <v>9</v>
      </c>
      <c r="D2" s="179" t="s">
        <v>10</v>
      </c>
      <c r="E2" s="181" t="s">
        <v>11</v>
      </c>
      <c r="F2" s="180" t="s">
        <v>12</v>
      </c>
      <c r="G2" s="180" t="s">
        <v>13</v>
      </c>
      <c r="H2" s="179" t="s">
        <v>14</v>
      </c>
      <c r="I2" s="179" t="s">
        <v>15</v>
      </c>
      <c r="J2" s="180" t="s">
        <v>16</v>
      </c>
      <c r="K2" s="211" t="s">
        <v>17</v>
      </c>
      <c r="L2" s="211" t="s">
        <v>18</v>
      </c>
      <c r="M2" s="179" t="s">
        <v>19</v>
      </c>
      <c r="N2" s="21" t="s">
        <v>20</v>
      </c>
      <c r="O2" s="21" t="s">
        <v>21</v>
      </c>
      <c r="P2" s="21" t="s">
        <v>22</v>
      </c>
      <c r="Q2" s="179" t="s">
        <v>23</v>
      </c>
      <c r="R2" s="179" t="s">
        <v>24</v>
      </c>
      <c r="S2" s="179" t="s">
        <v>25</v>
      </c>
      <c r="T2" s="179" t="s">
        <v>26</v>
      </c>
      <c r="U2" s="179" t="s">
        <v>27</v>
      </c>
      <c r="V2" s="179" t="s">
        <v>28</v>
      </c>
      <c r="W2" s="179" t="s">
        <v>29</v>
      </c>
      <c r="X2" s="180" t="s">
        <v>30</v>
      </c>
    </row>
    <row r="3" s="168" customFormat="1" ht="30" customHeight="1" spans="1:24">
      <c r="A3" s="182"/>
      <c r="B3" s="183"/>
      <c r="C3" s="183"/>
      <c r="D3" s="182"/>
      <c r="E3" s="184"/>
      <c r="F3" s="183"/>
      <c r="G3" s="183"/>
      <c r="H3" s="182"/>
      <c r="I3" s="182"/>
      <c r="J3" s="212" t="s">
        <v>31</v>
      </c>
      <c r="K3" s="213"/>
      <c r="L3" s="213"/>
      <c r="M3" s="182"/>
      <c r="N3" s="213"/>
      <c r="O3" s="213"/>
      <c r="P3" s="213"/>
      <c r="Q3" s="182"/>
      <c r="R3" s="182"/>
      <c r="S3" s="182"/>
      <c r="T3" s="182"/>
      <c r="U3" s="182"/>
      <c r="V3" s="182"/>
      <c r="W3" s="182"/>
      <c r="X3" s="183"/>
    </row>
    <row r="4" s="3" customFormat="1" ht="50" customHeight="1" spans="1:24">
      <c r="A4" s="39">
        <v>1</v>
      </c>
      <c r="B4" s="113" t="s">
        <v>32</v>
      </c>
      <c r="C4" s="185" t="str">
        <f>_xlfn.DISPIMG("ID_4803E5F9424443B5967CDA7C33CD5D67",1)</f>
        <v>=DISPIMG("ID_4803E5F9424443B5967CDA7C33CD5D67",1)</v>
      </c>
      <c r="D4" s="39" t="s">
        <v>33</v>
      </c>
      <c r="E4" s="186" t="s">
        <v>34</v>
      </c>
      <c r="F4" s="49">
        <v>906176249</v>
      </c>
      <c r="G4" s="187" t="s">
        <v>35</v>
      </c>
      <c r="H4" s="49" t="s">
        <v>36</v>
      </c>
      <c r="I4" s="214" t="s">
        <v>37</v>
      </c>
      <c r="J4" s="292" t="s">
        <v>38</v>
      </c>
      <c r="K4" s="114">
        <v>154.6</v>
      </c>
      <c r="L4" s="215">
        <v>248</v>
      </c>
      <c r="M4" s="215">
        <v>3.9</v>
      </c>
      <c r="N4" s="163">
        <v>320000</v>
      </c>
      <c r="O4" s="163">
        <v>350000</v>
      </c>
      <c r="P4" s="163">
        <v>380000</v>
      </c>
      <c r="Q4" s="163" t="s">
        <v>39</v>
      </c>
      <c r="R4" s="164" t="s">
        <v>39</v>
      </c>
      <c r="S4" s="163" t="s">
        <v>39</v>
      </c>
      <c r="T4" s="164" t="s">
        <v>40</v>
      </c>
      <c r="U4" s="164" t="s">
        <v>41</v>
      </c>
      <c r="V4" s="114" t="s">
        <v>42</v>
      </c>
      <c r="W4" s="49" t="s">
        <v>39</v>
      </c>
      <c r="X4" s="49" t="s">
        <v>43</v>
      </c>
    </row>
    <row r="5" s="3" customFormat="1" ht="50" customHeight="1" spans="1:24">
      <c r="A5" s="188">
        <v>2</v>
      </c>
      <c r="B5" s="189" t="s">
        <v>44</v>
      </c>
      <c r="C5" s="190" t="str">
        <f>_xlfn.DISPIMG("ID_98EF0EE3BD0548999CE698DFD5904591",1)</f>
        <v>=DISPIMG("ID_98EF0EE3BD0548999CE698DFD5904591",1)</v>
      </c>
      <c r="D5" s="34" t="s">
        <v>45</v>
      </c>
      <c r="E5" s="191" t="s">
        <v>46</v>
      </c>
      <c r="F5" s="48">
        <v>25847173020</v>
      </c>
      <c r="G5" s="48" t="s">
        <v>47</v>
      </c>
      <c r="H5" s="48" t="s">
        <v>48</v>
      </c>
      <c r="I5" s="216" t="s">
        <v>49</v>
      </c>
      <c r="J5" s="293" t="s">
        <v>50</v>
      </c>
      <c r="K5" s="121">
        <v>144.2</v>
      </c>
      <c r="L5" s="166">
        <v>70.5</v>
      </c>
      <c r="M5" s="166">
        <v>3.8</v>
      </c>
      <c r="N5" s="217">
        <v>25000</v>
      </c>
      <c r="O5" s="217">
        <v>40000</v>
      </c>
      <c r="P5" s="217">
        <v>50000</v>
      </c>
      <c r="Q5" s="217" t="s">
        <v>39</v>
      </c>
      <c r="R5" s="217" t="s">
        <v>51</v>
      </c>
      <c r="S5" s="217" t="s">
        <v>39</v>
      </c>
      <c r="T5" s="217" t="s">
        <v>52</v>
      </c>
      <c r="U5" s="217" t="s">
        <v>53</v>
      </c>
      <c r="V5" s="121" t="s">
        <v>54</v>
      </c>
      <c r="W5" s="48" t="s">
        <v>55</v>
      </c>
      <c r="X5" s="48" t="s">
        <v>43</v>
      </c>
    </row>
    <row r="6" s="3" customFormat="1" ht="50" customHeight="1" spans="1:24">
      <c r="A6" s="39">
        <v>3</v>
      </c>
      <c r="B6" s="113" t="s">
        <v>56</v>
      </c>
      <c r="C6" s="185" t="str">
        <f>_xlfn.DISPIMG("ID_3246E6416F054975A4AEB2EFBF73C7D8",1)</f>
        <v>=DISPIMG("ID_3246E6416F054975A4AEB2EFBF73C7D8",1)</v>
      </c>
      <c r="D6" s="39" t="s">
        <v>57</v>
      </c>
      <c r="E6" s="186" t="s">
        <v>58</v>
      </c>
      <c r="F6" s="49">
        <v>67514482</v>
      </c>
      <c r="G6" s="187" t="s">
        <v>59</v>
      </c>
      <c r="H6" s="49" t="s">
        <v>60</v>
      </c>
      <c r="I6" s="214" t="s">
        <v>61</v>
      </c>
      <c r="J6" s="114" t="s">
        <v>62</v>
      </c>
      <c r="K6" s="114">
        <v>211.1</v>
      </c>
      <c r="L6" s="215">
        <v>118.4</v>
      </c>
      <c r="M6" s="215">
        <v>2.7</v>
      </c>
      <c r="N6" s="164">
        <v>48000</v>
      </c>
      <c r="O6" s="164">
        <v>60000</v>
      </c>
      <c r="P6" s="164">
        <v>70000</v>
      </c>
      <c r="Q6" s="164" t="s">
        <v>39</v>
      </c>
      <c r="R6" s="164" t="s">
        <v>39</v>
      </c>
      <c r="S6" s="163" t="s">
        <v>39</v>
      </c>
      <c r="T6" s="164" t="s">
        <v>63</v>
      </c>
      <c r="U6" s="164" t="s">
        <v>64</v>
      </c>
      <c r="V6" s="114" t="s">
        <v>65</v>
      </c>
      <c r="W6" s="49" t="s">
        <v>66</v>
      </c>
      <c r="X6" s="49" t="s">
        <v>43</v>
      </c>
    </row>
    <row r="7" s="169" customFormat="1" ht="25" customHeight="1" spans="1:24">
      <c r="A7" s="192"/>
      <c r="B7" s="192"/>
      <c r="C7" s="192"/>
      <c r="D7" s="192"/>
      <c r="E7" s="192"/>
      <c r="F7" s="192"/>
      <c r="G7" s="192"/>
      <c r="H7" s="192"/>
      <c r="I7" s="192"/>
      <c r="J7" s="218" t="s">
        <v>67</v>
      </c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</row>
    <row r="8" s="3" customFormat="1" ht="50" customHeight="1" spans="1:24">
      <c r="A8" s="34">
        <v>4</v>
      </c>
      <c r="B8" s="125"/>
      <c r="C8" s="190" t="str">
        <f>_xlfn.DISPIMG("ID_8B1A5379A37A4735923A64D5881D8A37",1)</f>
        <v>=DISPIMG("ID_8B1A5379A37A4735923A64D5881D8A37",1)</v>
      </c>
      <c r="D8" s="34" t="s">
        <v>68</v>
      </c>
      <c r="E8" s="191" t="s">
        <v>69</v>
      </c>
      <c r="F8" s="48">
        <v>47175740457</v>
      </c>
      <c r="G8" s="48" t="s">
        <v>70</v>
      </c>
      <c r="H8" s="48" t="s">
        <v>71</v>
      </c>
      <c r="I8" s="216" t="s">
        <v>72</v>
      </c>
      <c r="J8" s="121" t="s">
        <v>73</v>
      </c>
      <c r="K8" s="121">
        <v>2660.4</v>
      </c>
      <c r="L8" s="166">
        <v>5.6</v>
      </c>
      <c r="M8" s="166">
        <v>0.1</v>
      </c>
      <c r="N8" s="217">
        <v>1800000</v>
      </c>
      <c r="O8" s="217"/>
      <c r="P8" s="217"/>
      <c r="Q8" s="217" t="s">
        <v>74</v>
      </c>
      <c r="R8" s="217" t="s">
        <v>75</v>
      </c>
      <c r="S8" s="217" t="s">
        <v>39</v>
      </c>
      <c r="T8" s="217" t="s">
        <v>76</v>
      </c>
      <c r="U8" s="217" t="s">
        <v>77</v>
      </c>
      <c r="V8" s="121" t="s">
        <v>78</v>
      </c>
      <c r="W8" s="48" t="s">
        <v>79</v>
      </c>
      <c r="X8" s="48" t="s">
        <v>43</v>
      </c>
    </row>
    <row r="9" s="169" customFormat="1" ht="25" customHeight="1" spans="1:24">
      <c r="A9" s="193"/>
      <c r="B9" s="193"/>
      <c r="C9" s="193"/>
      <c r="D9" s="193"/>
      <c r="E9" s="193"/>
      <c r="F9" s="193"/>
      <c r="G9" s="193"/>
      <c r="H9" s="193"/>
      <c r="I9" s="193"/>
      <c r="J9" s="219" t="s">
        <v>80</v>
      </c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</row>
    <row r="10" s="1" customFormat="1" ht="50" customHeight="1" spans="1:24">
      <c r="A10" s="34">
        <v>5</v>
      </c>
      <c r="B10" s="194"/>
      <c r="C10" s="34" t="str">
        <f>_xlfn.DISPIMG("ID_F2465015B1084BD0916D0D4A3FB710D5",1)</f>
        <v>=DISPIMG("ID_F2465015B1084BD0916D0D4A3FB710D5",1)</v>
      </c>
      <c r="D10" s="34" t="s">
        <v>81</v>
      </c>
      <c r="E10" s="191" t="s">
        <v>82</v>
      </c>
      <c r="F10" s="48" t="s">
        <v>83</v>
      </c>
      <c r="G10" s="48" t="s">
        <v>84</v>
      </c>
      <c r="H10" s="48" t="s">
        <v>85</v>
      </c>
      <c r="I10" s="216" t="s">
        <v>86</v>
      </c>
      <c r="J10" s="121" t="s">
        <v>87</v>
      </c>
      <c r="K10" s="121">
        <v>1007.9</v>
      </c>
      <c r="L10" s="166">
        <v>231.1</v>
      </c>
      <c r="M10" s="166">
        <v>7.7</v>
      </c>
      <c r="N10" s="220">
        <v>158000</v>
      </c>
      <c r="O10" s="220">
        <v>178000</v>
      </c>
      <c r="P10" s="220">
        <v>188000</v>
      </c>
      <c r="Q10" s="220">
        <v>208000</v>
      </c>
      <c r="R10" s="217" t="s">
        <v>88</v>
      </c>
      <c r="S10" s="217">
        <v>230000</v>
      </c>
      <c r="T10" s="217" t="s">
        <v>89</v>
      </c>
      <c r="U10" s="217" t="s">
        <v>90</v>
      </c>
      <c r="V10" s="121" t="s">
        <v>91</v>
      </c>
      <c r="W10" s="48" t="s">
        <v>92</v>
      </c>
      <c r="X10" s="48" t="s">
        <v>43</v>
      </c>
    </row>
    <row r="11" s="1" customFormat="1" ht="50" customHeight="1" spans="1:24">
      <c r="A11" s="39">
        <v>6</v>
      </c>
      <c r="B11" s="39"/>
      <c r="C11" s="39" t="str">
        <f>_xlfn.DISPIMG("ID_539BCED200DC418DA80390830AE35518",1)</f>
        <v>=DISPIMG("ID_539BCED200DC418DA80390830AE35518",1)</v>
      </c>
      <c r="D11" s="39" t="s">
        <v>93</v>
      </c>
      <c r="E11" s="186" t="s">
        <v>94</v>
      </c>
      <c r="F11" s="49" t="s">
        <v>95</v>
      </c>
      <c r="G11" s="49" t="s">
        <v>84</v>
      </c>
      <c r="H11" s="49" t="s">
        <v>96</v>
      </c>
      <c r="I11" s="214" t="s">
        <v>97</v>
      </c>
      <c r="J11" s="114" t="s">
        <v>98</v>
      </c>
      <c r="K11" s="114">
        <v>566.8</v>
      </c>
      <c r="L11" s="215">
        <v>151.3</v>
      </c>
      <c r="M11" s="215">
        <v>4.5</v>
      </c>
      <c r="N11" s="221" t="s">
        <v>39</v>
      </c>
      <c r="O11" s="221">
        <v>178000</v>
      </c>
      <c r="P11" s="221">
        <v>188000</v>
      </c>
      <c r="Q11" s="231">
        <v>198000</v>
      </c>
      <c r="R11" s="221" t="s">
        <v>88</v>
      </c>
      <c r="S11" s="163">
        <v>180000</v>
      </c>
      <c r="T11" s="164" t="s">
        <v>99</v>
      </c>
      <c r="U11" s="164" t="s">
        <v>100</v>
      </c>
      <c r="V11" s="114" t="s">
        <v>101</v>
      </c>
      <c r="W11" s="49" t="s">
        <v>102</v>
      </c>
      <c r="X11" s="49" t="s">
        <v>43</v>
      </c>
    </row>
    <row r="12" s="1" customFormat="1" ht="50" customHeight="1" spans="1:24">
      <c r="A12" s="34">
        <v>7</v>
      </c>
      <c r="B12" s="34"/>
      <c r="C12" s="34" t="str">
        <f>_xlfn.DISPIMG("ID_1BC942DF6B584A02B1D768100B32EF70",1)</f>
        <v>=DISPIMG("ID_1BC942DF6B584A02B1D768100B32EF70",1)</v>
      </c>
      <c r="D12" s="34" t="s">
        <v>103</v>
      </c>
      <c r="E12" s="191" t="s">
        <v>104</v>
      </c>
      <c r="F12" s="48" t="s">
        <v>105</v>
      </c>
      <c r="G12" s="48" t="s">
        <v>106</v>
      </c>
      <c r="H12" s="48" t="s">
        <v>107</v>
      </c>
      <c r="I12" s="216" t="s">
        <v>108</v>
      </c>
      <c r="J12" s="121" t="s">
        <v>109</v>
      </c>
      <c r="K12" s="121">
        <v>166.7</v>
      </c>
      <c r="L12" s="166">
        <v>89.5</v>
      </c>
      <c r="M12" s="166">
        <v>2.4</v>
      </c>
      <c r="N12" s="217" t="s">
        <v>39</v>
      </c>
      <c r="O12" s="217">
        <v>98000</v>
      </c>
      <c r="P12" s="217">
        <v>110000</v>
      </c>
      <c r="Q12" s="217">
        <v>130000</v>
      </c>
      <c r="R12" s="217" t="s">
        <v>88</v>
      </c>
      <c r="S12" s="217" t="s">
        <v>39</v>
      </c>
      <c r="T12" s="217" t="s">
        <v>110</v>
      </c>
      <c r="U12" s="217" t="s">
        <v>111</v>
      </c>
      <c r="V12" s="121" t="s">
        <v>112</v>
      </c>
      <c r="W12" s="48" t="s">
        <v>113</v>
      </c>
      <c r="X12" s="48" t="s">
        <v>43</v>
      </c>
    </row>
    <row r="13" s="28" customFormat="1" ht="50" customHeight="1" spans="1:24">
      <c r="A13" s="39">
        <v>8</v>
      </c>
      <c r="B13" s="39"/>
      <c r="C13" s="39" t="str">
        <f>_xlfn.DISPIMG("ID_318740AF549F4708BB02E02E05CFE37C",1)</f>
        <v>=DISPIMG("ID_318740AF549F4708BB02E02E05CFE37C",1)</v>
      </c>
      <c r="D13" s="39" t="s">
        <v>114</v>
      </c>
      <c r="E13" s="186" t="s">
        <v>115</v>
      </c>
      <c r="F13" s="49" t="s">
        <v>116</v>
      </c>
      <c r="G13" s="49" t="s">
        <v>117</v>
      </c>
      <c r="H13" s="49" t="s">
        <v>118</v>
      </c>
      <c r="I13" s="214" t="s">
        <v>119</v>
      </c>
      <c r="J13" s="114" t="s">
        <v>120</v>
      </c>
      <c r="K13" s="114">
        <v>498.2</v>
      </c>
      <c r="L13" s="215">
        <v>27.7</v>
      </c>
      <c r="M13" s="215">
        <v>1</v>
      </c>
      <c r="N13" s="222" t="s">
        <v>39</v>
      </c>
      <c r="O13" s="164">
        <v>268000</v>
      </c>
      <c r="P13" s="164">
        <v>288000</v>
      </c>
      <c r="Q13" s="164">
        <v>350000</v>
      </c>
      <c r="R13" s="164" t="s">
        <v>121</v>
      </c>
      <c r="S13" s="164">
        <v>268000</v>
      </c>
      <c r="T13" s="164" t="s">
        <v>122</v>
      </c>
      <c r="U13" s="164" t="s">
        <v>123</v>
      </c>
      <c r="V13" s="114" t="s">
        <v>124</v>
      </c>
      <c r="W13" s="49" t="s">
        <v>125</v>
      </c>
      <c r="X13" s="49" t="s">
        <v>43</v>
      </c>
    </row>
    <row r="14" s="1" customFormat="1" ht="50" customHeight="1" spans="1:24">
      <c r="A14" s="34">
        <v>9</v>
      </c>
      <c r="B14" s="34"/>
      <c r="C14" s="34" t="str">
        <f>_xlfn.DISPIMG("ID_CFC7EBDA34574183B86BA9DB2E6A9DEE",1)</f>
        <v>=DISPIMG("ID_CFC7EBDA34574183B86BA9DB2E6A9DEE",1)</v>
      </c>
      <c r="D14" s="34" t="s">
        <v>126</v>
      </c>
      <c r="E14" s="191" t="s">
        <v>127</v>
      </c>
      <c r="F14" s="48">
        <v>330477638</v>
      </c>
      <c r="G14" s="48" t="s">
        <v>84</v>
      </c>
      <c r="H14" s="48" t="s">
        <v>128</v>
      </c>
      <c r="I14" s="216" t="s">
        <v>129</v>
      </c>
      <c r="J14" s="121" t="s">
        <v>130</v>
      </c>
      <c r="K14" s="121">
        <v>160.2</v>
      </c>
      <c r="L14" s="166">
        <v>853.4</v>
      </c>
      <c r="M14" s="166">
        <v>36.3</v>
      </c>
      <c r="N14" s="217" t="s">
        <v>39</v>
      </c>
      <c r="O14" s="217">
        <v>60000</v>
      </c>
      <c r="P14" s="217">
        <v>60000</v>
      </c>
      <c r="Q14" s="217">
        <v>60000</v>
      </c>
      <c r="R14" s="217" t="s">
        <v>121</v>
      </c>
      <c r="S14" s="165">
        <v>60000</v>
      </c>
      <c r="T14" s="217" t="s">
        <v>131</v>
      </c>
      <c r="U14" s="217" t="s">
        <v>132</v>
      </c>
      <c r="V14" s="121" t="s">
        <v>133</v>
      </c>
      <c r="W14" s="48" t="s">
        <v>134</v>
      </c>
      <c r="X14" s="48" t="s">
        <v>43</v>
      </c>
    </row>
    <row r="15" s="1" customFormat="1" ht="50" customHeight="1" spans="1:24">
      <c r="A15" s="39">
        <v>10</v>
      </c>
      <c r="B15" s="195" t="s">
        <v>135</v>
      </c>
      <c r="C15" s="39" t="str">
        <f>_xlfn.DISPIMG("ID_EEC77C4673CE40A2AA11F908ADC8ABA3",1)</f>
        <v>=DISPIMG("ID_EEC77C4673CE40A2AA11F908ADC8ABA3",1)</v>
      </c>
      <c r="D15" s="39" t="s">
        <v>136</v>
      </c>
      <c r="E15" s="196" t="s">
        <v>137</v>
      </c>
      <c r="F15" s="49" t="s">
        <v>138</v>
      </c>
      <c r="G15" s="114" t="s">
        <v>139</v>
      </c>
      <c r="H15" s="49" t="s">
        <v>140</v>
      </c>
      <c r="I15" s="214" t="s">
        <v>141</v>
      </c>
      <c r="J15" s="114" t="s">
        <v>142</v>
      </c>
      <c r="K15" s="114">
        <v>304.7</v>
      </c>
      <c r="L15" s="215">
        <v>75.2</v>
      </c>
      <c r="M15" s="215">
        <v>2</v>
      </c>
      <c r="N15" s="164">
        <v>35000</v>
      </c>
      <c r="O15" s="164">
        <v>60000</v>
      </c>
      <c r="P15" s="164">
        <v>65000</v>
      </c>
      <c r="Q15" s="164" t="s">
        <v>39</v>
      </c>
      <c r="R15" s="164" t="s">
        <v>39</v>
      </c>
      <c r="S15" s="164" t="s">
        <v>39</v>
      </c>
      <c r="T15" s="164" t="s">
        <v>143</v>
      </c>
      <c r="U15" s="164" t="s">
        <v>144</v>
      </c>
      <c r="V15" s="114" t="s">
        <v>145</v>
      </c>
      <c r="W15" s="49" t="s">
        <v>146</v>
      </c>
      <c r="X15" s="49" t="s">
        <v>147</v>
      </c>
    </row>
    <row r="16" s="170" customFormat="1" ht="50" customHeight="1" spans="1:24">
      <c r="A16" s="188">
        <v>11</v>
      </c>
      <c r="B16" s="189" t="s">
        <v>44</v>
      </c>
      <c r="C16" s="188" t="str">
        <f>_xlfn.DISPIMG("ID_D54C7699201241D3AFE0050FF29CC82A",1)</f>
        <v>=DISPIMG("ID_D54C7699201241D3AFE0050FF29CC82A",1)</v>
      </c>
      <c r="D16" s="188" t="s">
        <v>148</v>
      </c>
      <c r="E16" s="197" t="s">
        <v>149</v>
      </c>
      <c r="F16" s="198" t="s">
        <v>150</v>
      </c>
      <c r="G16" s="117" t="s">
        <v>151</v>
      </c>
      <c r="H16" s="198" t="s">
        <v>152</v>
      </c>
      <c r="I16" s="223" t="s">
        <v>153</v>
      </c>
      <c r="J16" s="117" t="s">
        <v>154</v>
      </c>
      <c r="K16" s="117">
        <v>166</v>
      </c>
      <c r="L16" s="224">
        <v>42.8</v>
      </c>
      <c r="M16" s="224">
        <v>1.3</v>
      </c>
      <c r="N16" s="220" t="s">
        <v>39</v>
      </c>
      <c r="O16" s="220">
        <v>60000</v>
      </c>
      <c r="P16" s="220">
        <v>60000</v>
      </c>
      <c r="Q16" s="220">
        <v>75000</v>
      </c>
      <c r="R16" s="220" t="s">
        <v>88</v>
      </c>
      <c r="S16" s="220" t="s">
        <v>39</v>
      </c>
      <c r="T16" s="220" t="s">
        <v>155</v>
      </c>
      <c r="U16" s="220" t="s">
        <v>156</v>
      </c>
      <c r="V16" s="117" t="s">
        <v>157</v>
      </c>
      <c r="W16" s="198" t="s">
        <v>158</v>
      </c>
      <c r="X16" s="198" t="s">
        <v>43</v>
      </c>
    </row>
    <row r="17" s="1" customFormat="1" ht="50" customHeight="1" spans="1:24">
      <c r="A17" s="39">
        <v>12</v>
      </c>
      <c r="B17" s="195"/>
      <c r="C17" s="39" t="str">
        <f>_xlfn.DISPIMG("ID_B1AF27D69EFC45A7AFD3F8470C2DF902",1)</f>
        <v>=DISPIMG("ID_B1AF27D69EFC45A7AFD3F8470C2DF902",1)</v>
      </c>
      <c r="D17" s="39" t="s">
        <v>159</v>
      </c>
      <c r="E17" s="196" t="s">
        <v>160</v>
      </c>
      <c r="F17" s="49" t="s">
        <v>161</v>
      </c>
      <c r="G17" s="114" t="s">
        <v>162</v>
      </c>
      <c r="H17" s="49" t="s">
        <v>163</v>
      </c>
      <c r="I17" s="214" t="s">
        <v>164</v>
      </c>
      <c r="J17" s="292" t="s">
        <v>165</v>
      </c>
      <c r="K17" s="114">
        <v>199.5</v>
      </c>
      <c r="L17" s="215">
        <v>268.8</v>
      </c>
      <c r="M17" s="215">
        <v>20.4</v>
      </c>
      <c r="N17" s="164">
        <v>20000</v>
      </c>
      <c r="O17" s="164">
        <v>30000</v>
      </c>
      <c r="P17" s="164">
        <v>40000</v>
      </c>
      <c r="Q17" s="164">
        <v>50000</v>
      </c>
      <c r="R17" s="164" t="s">
        <v>121</v>
      </c>
      <c r="S17" s="164" t="s">
        <v>39</v>
      </c>
      <c r="T17" s="164" t="s">
        <v>166</v>
      </c>
      <c r="U17" s="164" t="s">
        <v>167</v>
      </c>
      <c r="V17" s="114" t="s">
        <v>168</v>
      </c>
      <c r="W17" s="49" t="s">
        <v>169</v>
      </c>
      <c r="X17" s="49" t="s">
        <v>43</v>
      </c>
    </row>
    <row r="18" s="170" customFormat="1" ht="50" customHeight="1" spans="1:24">
      <c r="A18" s="188">
        <v>13</v>
      </c>
      <c r="B18" s="189"/>
      <c r="C18" s="158" t="str">
        <f>_xlfn.DISPIMG("ID_9313BA33A13741C3997400D039C6FB0D",1)</f>
        <v>=DISPIMG("ID_9313BA33A13741C3997400D039C6FB0D",1)</v>
      </c>
      <c r="D18" s="188" t="s">
        <v>170</v>
      </c>
      <c r="E18" s="197" t="s">
        <v>171</v>
      </c>
      <c r="F18" s="198" t="s">
        <v>172</v>
      </c>
      <c r="G18" s="117" t="s">
        <v>162</v>
      </c>
      <c r="H18" s="198" t="s">
        <v>173</v>
      </c>
      <c r="I18" s="223" t="s">
        <v>174</v>
      </c>
      <c r="J18" s="294" t="s">
        <v>175</v>
      </c>
      <c r="K18" s="117">
        <v>76.5</v>
      </c>
      <c r="L18" s="224">
        <v>595</v>
      </c>
      <c r="M18" s="224">
        <v>17</v>
      </c>
      <c r="N18" s="220">
        <v>12000</v>
      </c>
      <c r="O18" s="220">
        <v>20000</v>
      </c>
      <c r="P18" s="220">
        <v>25000</v>
      </c>
      <c r="Q18" s="220">
        <v>35000</v>
      </c>
      <c r="R18" s="220" t="s">
        <v>121</v>
      </c>
      <c r="S18" s="220" t="s">
        <v>39</v>
      </c>
      <c r="T18" s="220" t="s">
        <v>176</v>
      </c>
      <c r="U18" s="220" t="s">
        <v>177</v>
      </c>
      <c r="V18" s="117" t="s">
        <v>178</v>
      </c>
      <c r="W18" s="198" t="s">
        <v>179</v>
      </c>
      <c r="X18" s="198" t="s">
        <v>43</v>
      </c>
    </row>
    <row r="19" s="1" customFormat="1" ht="50" customHeight="1" spans="1:24">
      <c r="A19" s="39">
        <v>14</v>
      </c>
      <c r="B19" s="195"/>
      <c r="C19" s="39" t="str">
        <f>_xlfn.DISPIMG("ID_FEA892292C9F41DC88FCF6A565C5188F",1)</f>
        <v>=DISPIMG("ID_FEA892292C9F41DC88FCF6A565C5188F",1)</v>
      </c>
      <c r="D19" s="39" t="s">
        <v>180</v>
      </c>
      <c r="E19" s="196" t="s">
        <v>181</v>
      </c>
      <c r="F19" s="49" t="s">
        <v>182</v>
      </c>
      <c r="G19" s="114" t="s">
        <v>183</v>
      </c>
      <c r="H19" s="49" t="s">
        <v>184</v>
      </c>
      <c r="I19" s="214" t="s">
        <v>185</v>
      </c>
      <c r="J19" s="114" t="s">
        <v>186</v>
      </c>
      <c r="K19" s="114">
        <v>260.6</v>
      </c>
      <c r="L19" s="215" t="s">
        <v>39</v>
      </c>
      <c r="M19" s="215" t="s">
        <v>39</v>
      </c>
      <c r="N19" s="164">
        <v>26000</v>
      </c>
      <c r="O19" s="164">
        <v>31000</v>
      </c>
      <c r="P19" s="164">
        <v>40000</v>
      </c>
      <c r="Q19" s="164" t="s">
        <v>39</v>
      </c>
      <c r="R19" s="164" t="s">
        <v>88</v>
      </c>
      <c r="S19" s="164">
        <v>29000</v>
      </c>
      <c r="T19" s="164" t="s">
        <v>187</v>
      </c>
      <c r="U19" s="164" t="s">
        <v>188</v>
      </c>
      <c r="V19" s="114" t="s">
        <v>189</v>
      </c>
      <c r="W19" s="49" t="s">
        <v>190</v>
      </c>
      <c r="X19" s="49" t="s">
        <v>43</v>
      </c>
    </row>
    <row r="20" s="171" customFormat="1" ht="25" customHeight="1" spans="1:24">
      <c r="A20" s="129"/>
      <c r="B20" s="129"/>
      <c r="C20" s="129"/>
      <c r="D20" s="129"/>
      <c r="E20" s="129"/>
      <c r="F20" s="129"/>
      <c r="G20" s="129"/>
      <c r="H20" s="129"/>
      <c r="I20" s="129"/>
      <c r="J20" s="225" t="s">
        <v>191</v>
      </c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</row>
    <row r="21" s="1" customFormat="1" ht="50" customHeight="1" spans="1:24">
      <c r="A21" s="34">
        <v>15</v>
      </c>
      <c r="B21" s="199"/>
      <c r="C21" s="190" t="str">
        <f>_xlfn.DISPIMG("ID_0580F2861D774B8A81FE11D0A7A751A0",1)</f>
        <v>=DISPIMG("ID_0580F2861D774B8A81FE11D0A7A751A0",1)</v>
      </c>
      <c r="D21" s="34" t="s">
        <v>192</v>
      </c>
      <c r="E21" s="191" t="s">
        <v>193</v>
      </c>
      <c r="F21" s="48" t="s">
        <v>194</v>
      </c>
      <c r="G21" s="200" t="s">
        <v>195</v>
      </c>
      <c r="H21" s="48" t="s">
        <v>196</v>
      </c>
      <c r="I21" s="216" t="s">
        <v>197</v>
      </c>
      <c r="J21" s="121" t="s">
        <v>198</v>
      </c>
      <c r="K21" s="121">
        <v>206.4</v>
      </c>
      <c r="L21" s="166">
        <v>56.6</v>
      </c>
      <c r="M21" s="166">
        <v>1.9</v>
      </c>
      <c r="N21" s="217">
        <v>75000</v>
      </c>
      <c r="O21" s="217">
        <v>108000</v>
      </c>
      <c r="P21" s="217">
        <v>150000</v>
      </c>
      <c r="Q21" s="217" t="s">
        <v>39</v>
      </c>
      <c r="R21" s="217" t="s">
        <v>88</v>
      </c>
      <c r="S21" s="217">
        <v>108000</v>
      </c>
      <c r="T21" s="217" t="s">
        <v>199</v>
      </c>
      <c r="U21" s="217" t="s">
        <v>200</v>
      </c>
      <c r="V21" s="121" t="s">
        <v>201</v>
      </c>
      <c r="W21" s="48" t="s">
        <v>202</v>
      </c>
      <c r="X21" s="48" t="s">
        <v>203</v>
      </c>
    </row>
    <row r="22" s="1" customFormat="1" ht="50" customHeight="1" spans="1:24">
      <c r="A22" s="39">
        <v>16</v>
      </c>
      <c r="B22" s="195" t="s">
        <v>204</v>
      </c>
      <c r="C22" s="185" t="str">
        <f>_xlfn.DISPIMG("ID_B5EF5E77D86345B7A9A6A02B63F067DE",1)</f>
        <v>=DISPIMG("ID_B5EF5E77D86345B7A9A6A02B63F067DE",1)</v>
      </c>
      <c r="D22" s="39" t="s">
        <v>205</v>
      </c>
      <c r="E22" s="186" t="s">
        <v>206</v>
      </c>
      <c r="F22" s="49" t="s">
        <v>207</v>
      </c>
      <c r="G22" s="49" t="s">
        <v>208</v>
      </c>
      <c r="H22" s="49" t="s">
        <v>209</v>
      </c>
      <c r="I22" s="214" t="s">
        <v>210</v>
      </c>
      <c r="J22" s="292" t="s">
        <v>211</v>
      </c>
      <c r="K22" s="114">
        <v>183.3</v>
      </c>
      <c r="L22" s="215">
        <v>112.1</v>
      </c>
      <c r="M22" s="215">
        <v>15.3</v>
      </c>
      <c r="N22" s="164">
        <v>160000</v>
      </c>
      <c r="O22" s="164">
        <v>228000</v>
      </c>
      <c r="P22" s="164">
        <v>348000</v>
      </c>
      <c r="Q22" s="164" t="s">
        <v>39</v>
      </c>
      <c r="R22" s="164" t="s">
        <v>39</v>
      </c>
      <c r="S22" s="164" t="s">
        <v>39</v>
      </c>
      <c r="T22" s="164" t="s">
        <v>212</v>
      </c>
      <c r="U22" s="164" t="s">
        <v>213</v>
      </c>
      <c r="V22" s="114" t="s">
        <v>214</v>
      </c>
      <c r="W22" s="49" t="s">
        <v>215</v>
      </c>
      <c r="X22" s="49" t="s">
        <v>43</v>
      </c>
    </row>
    <row r="23" s="171" customFormat="1" ht="25" customHeight="1" spans="1:24">
      <c r="A23" s="201"/>
      <c r="B23" s="201"/>
      <c r="C23" s="201"/>
      <c r="D23" s="201"/>
      <c r="E23" s="201"/>
      <c r="F23" s="201"/>
      <c r="G23" s="201"/>
      <c r="H23" s="201"/>
      <c r="I23" s="201"/>
      <c r="J23" s="226" t="s">
        <v>216</v>
      </c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</row>
    <row r="24" s="1" customFormat="1" ht="50" customHeight="1" spans="1:24">
      <c r="A24" s="39">
        <v>17</v>
      </c>
      <c r="B24" s="195" t="s">
        <v>44</v>
      </c>
      <c r="C24" s="185" t="str">
        <f>_xlfn.DISPIMG("ID_13688EB241364A2B81A7EC2777D4A67C",1)</f>
        <v>=DISPIMG("ID_13688EB241364A2B81A7EC2777D4A67C",1)</v>
      </c>
      <c r="D24" s="39" t="s">
        <v>217</v>
      </c>
      <c r="E24" s="186" t="s">
        <v>218</v>
      </c>
      <c r="F24" s="49" t="s">
        <v>219</v>
      </c>
      <c r="G24" s="49" t="s">
        <v>220</v>
      </c>
      <c r="H24" s="49" t="s">
        <v>221</v>
      </c>
      <c r="I24" s="214" t="s">
        <v>222</v>
      </c>
      <c r="J24" s="114" t="s">
        <v>223</v>
      </c>
      <c r="K24" s="114">
        <v>523.2</v>
      </c>
      <c r="L24" s="215">
        <v>143.9</v>
      </c>
      <c r="M24" s="215">
        <v>16.2</v>
      </c>
      <c r="N24" s="164">
        <v>63200</v>
      </c>
      <c r="O24" s="164">
        <v>158000</v>
      </c>
      <c r="P24" s="164">
        <v>168000</v>
      </c>
      <c r="Q24" s="164">
        <v>178000</v>
      </c>
      <c r="R24" s="164" t="s">
        <v>224</v>
      </c>
      <c r="S24" s="163">
        <v>158000</v>
      </c>
      <c r="T24" s="164" t="s">
        <v>225</v>
      </c>
      <c r="U24" s="164" t="s">
        <v>226</v>
      </c>
      <c r="V24" s="114" t="s">
        <v>227</v>
      </c>
      <c r="W24" s="49" t="s">
        <v>228</v>
      </c>
      <c r="X24" s="49" t="s">
        <v>43</v>
      </c>
    </row>
    <row r="25" s="1" customFormat="1" ht="50" customHeight="1" spans="1:24">
      <c r="A25" s="34">
        <v>18</v>
      </c>
      <c r="B25" s="202"/>
      <c r="C25" s="190" t="str">
        <f>_xlfn.DISPIMG("ID_25CF9ED5D08F4EC3B8261E1D3DA75E6B",1)</f>
        <v>=DISPIMG("ID_25CF9ED5D08F4EC3B8261E1D3DA75E6B",1)</v>
      </c>
      <c r="D25" s="34" t="s">
        <v>229</v>
      </c>
      <c r="E25" s="191" t="s">
        <v>230</v>
      </c>
      <c r="F25" s="48" t="s">
        <v>231</v>
      </c>
      <c r="G25" s="48" t="s">
        <v>220</v>
      </c>
      <c r="H25" s="48" t="s">
        <v>232</v>
      </c>
      <c r="I25" s="216" t="s">
        <v>233</v>
      </c>
      <c r="J25" s="121" t="s">
        <v>234</v>
      </c>
      <c r="K25" s="121">
        <v>123.6</v>
      </c>
      <c r="L25" s="166">
        <v>129</v>
      </c>
      <c r="M25" s="166">
        <v>5.2</v>
      </c>
      <c r="N25" s="217">
        <v>85000</v>
      </c>
      <c r="O25" s="217">
        <v>85000</v>
      </c>
      <c r="P25" s="217">
        <v>95000</v>
      </c>
      <c r="Q25" s="217">
        <v>105000</v>
      </c>
      <c r="R25" s="217" t="s">
        <v>224</v>
      </c>
      <c r="S25" s="165">
        <v>85000</v>
      </c>
      <c r="T25" s="217" t="s">
        <v>235</v>
      </c>
      <c r="U25" s="217" t="s">
        <v>236</v>
      </c>
      <c r="V25" s="217" t="s">
        <v>237</v>
      </c>
      <c r="W25" s="48" t="s">
        <v>238</v>
      </c>
      <c r="X25" s="48" t="s">
        <v>43</v>
      </c>
    </row>
    <row r="26" s="1" customFormat="1" ht="50" customHeight="1" spans="1:24">
      <c r="A26" s="39">
        <v>19</v>
      </c>
      <c r="B26" s="203"/>
      <c r="C26" s="185" t="str">
        <f>_xlfn.DISPIMG("ID_91A28B02F28F40E9BA4BAABE37226319",1)</f>
        <v>=DISPIMG("ID_91A28B02F28F40E9BA4BAABE37226319",1)</v>
      </c>
      <c r="D26" s="39" t="s">
        <v>239</v>
      </c>
      <c r="E26" s="196" t="s">
        <v>240</v>
      </c>
      <c r="F26" s="49" t="s">
        <v>241</v>
      </c>
      <c r="G26" s="49" t="s">
        <v>220</v>
      </c>
      <c r="H26" s="49" t="s">
        <v>242</v>
      </c>
      <c r="I26" s="214" t="s">
        <v>243</v>
      </c>
      <c r="J26" s="292" t="s">
        <v>244</v>
      </c>
      <c r="K26" s="114">
        <v>35.7</v>
      </c>
      <c r="L26" s="215">
        <v>630.3</v>
      </c>
      <c r="M26" s="215">
        <v>24.8</v>
      </c>
      <c r="N26" s="164">
        <v>35000</v>
      </c>
      <c r="O26" s="164">
        <v>45000</v>
      </c>
      <c r="P26" s="164">
        <v>50000</v>
      </c>
      <c r="Q26" s="164">
        <v>60000</v>
      </c>
      <c r="R26" s="164" t="s">
        <v>224</v>
      </c>
      <c r="S26" s="164">
        <v>35000</v>
      </c>
      <c r="T26" s="164" t="s">
        <v>245</v>
      </c>
      <c r="U26" s="164" t="s">
        <v>246</v>
      </c>
      <c r="V26" s="114" t="s">
        <v>247</v>
      </c>
      <c r="W26" s="49" t="s">
        <v>248</v>
      </c>
      <c r="X26" s="49" t="s">
        <v>43</v>
      </c>
    </row>
    <row r="27" s="1" customFormat="1" ht="50" customHeight="1" spans="1:24">
      <c r="A27" s="34">
        <v>20</v>
      </c>
      <c r="B27" s="202"/>
      <c r="C27" t="str">
        <f>_xlfn.DISPIMG("ID_09F1C858463649068DA213FFACF66789",1)</f>
        <v>=DISPIMG("ID_09F1C858463649068DA213FFACF66789",1)</v>
      </c>
      <c r="D27" s="34" t="s">
        <v>249</v>
      </c>
      <c r="E27" s="204" t="s">
        <v>250</v>
      </c>
      <c r="F27" s="48" t="s">
        <v>251</v>
      </c>
      <c r="G27" s="48" t="s">
        <v>252</v>
      </c>
      <c r="H27" s="48" t="s">
        <v>253</v>
      </c>
      <c r="I27" s="216" t="s">
        <v>254</v>
      </c>
      <c r="J27" s="121" t="s">
        <v>255</v>
      </c>
      <c r="K27" s="121">
        <v>168.8</v>
      </c>
      <c r="L27" s="166">
        <v>365.5</v>
      </c>
      <c r="M27" s="166">
        <v>9.4</v>
      </c>
      <c r="N27" s="217">
        <v>32000</v>
      </c>
      <c r="O27" s="217">
        <v>40000</v>
      </c>
      <c r="P27" s="217">
        <v>50000</v>
      </c>
      <c r="Q27" s="217">
        <v>60000</v>
      </c>
      <c r="R27" s="217" t="s">
        <v>224</v>
      </c>
      <c r="S27" s="165">
        <v>40000</v>
      </c>
      <c r="T27" s="217" t="s">
        <v>256</v>
      </c>
      <c r="U27" s="217" t="s">
        <v>257</v>
      </c>
      <c r="V27" s="121" t="s">
        <v>258</v>
      </c>
      <c r="W27" s="48" t="s">
        <v>259</v>
      </c>
      <c r="X27" s="48" t="s">
        <v>43</v>
      </c>
    </row>
    <row r="28" s="1" customFormat="1" ht="50" customHeight="1" spans="1:24">
      <c r="A28" s="39">
        <v>21</v>
      </c>
      <c r="B28" s="205"/>
      <c r="C28" s="185" t="str">
        <f>_xlfn.DISPIMG("ID_4BB75004A5214030A47B0EC4A3C051CB",1)</f>
        <v>=DISPIMG("ID_4BB75004A5214030A47B0EC4A3C051CB",1)</v>
      </c>
      <c r="D28" s="39" t="s">
        <v>260</v>
      </c>
      <c r="E28" s="186" t="s">
        <v>261</v>
      </c>
      <c r="F28" s="49" t="s">
        <v>262</v>
      </c>
      <c r="G28" s="49" t="s">
        <v>252</v>
      </c>
      <c r="H28" s="49" t="s">
        <v>263</v>
      </c>
      <c r="I28" s="214" t="s">
        <v>264</v>
      </c>
      <c r="J28" s="114" t="s">
        <v>265</v>
      </c>
      <c r="K28" s="114">
        <v>126.1</v>
      </c>
      <c r="L28" s="215">
        <v>650.5</v>
      </c>
      <c r="M28" s="215">
        <v>8</v>
      </c>
      <c r="N28" s="164">
        <v>25000</v>
      </c>
      <c r="O28" s="164">
        <v>40000</v>
      </c>
      <c r="P28" s="164">
        <v>50000</v>
      </c>
      <c r="Q28" s="164">
        <v>60000</v>
      </c>
      <c r="R28" s="164" t="s">
        <v>224</v>
      </c>
      <c r="S28" s="163">
        <v>40000</v>
      </c>
      <c r="T28" s="164" t="s">
        <v>266</v>
      </c>
      <c r="U28" s="164" t="s">
        <v>267</v>
      </c>
      <c r="V28" s="164" t="s">
        <v>268</v>
      </c>
      <c r="W28" s="49" t="s">
        <v>269</v>
      </c>
      <c r="X28" s="49" t="s">
        <v>43</v>
      </c>
    </row>
    <row r="29" s="1" customFormat="1" ht="50" customHeight="1" spans="1:24">
      <c r="A29" s="34">
        <v>22</v>
      </c>
      <c r="B29" s="202"/>
      <c r="C29" t="str">
        <f>_xlfn.DISPIMG("ID_F3D609DB18DE48E19583BF68B0478DBD",1)</f>
        <v>=DISPIMG("ID_F3D609DB18DE48E19583BF68B0478DBD",1)</v>
      </c>
      <c r="D29" s="34" t="s">
        <v>270</v>
      </c>
      <c r="E29" s="191" t="s">
        <v>271</v>
      </c>
      <c r="F29" s="48">
        <v>5466225</v>
      </c>
      <c r="G29" s="48" t="s">
        <v>272</v>
      </c>
      <c r="H29" s="48" t="s">
        <v>273</v>
      </c>
      <c r="I29" s="216" t="s">
        <v>274</v>
      </c>
      <c r="J29" s="121" t="s">
        <v>275</v>
      </c>
      <c r="K29" s="121">
        <v>60</v>
      </c>
      <c r="L29" s="166">
        <v>427.3</v>
      </c>
      <c r="M29" s="166">
        <v>8.4</v>
      </c>
      <c r="N29" s="217">
        <v>20000</v>
      </c>
      <c r="O29" s="217">
        <v>30000</v>
      </c>
      <c r="P29" s="217">
        <v>40000</v>
      </c>
      <c r="Q29" s="217">
        <v>50000</v>
      </c>
      <c r="R29" s="217" t="s">
        <v>276</v>
      </c>
      <c r="S29" s="217" t="s">
        <v>39</v>
      </c>
      <c r="T29" s="217" t="s">
        <v>277</v>
      </c>
      <c r="U29" s="217" t="s">
        <v>278</v>
      </c>
      <c r="V29" s="217" t="s">
        <v>279</v>
      </c>
      <c r="W29" s="48" t="s">
        <v>280</v>
      </c>
      <c r="X29" s="48" t="s">
        <v>43</v>
      </c>
    </row>
    <row r="30" s="1" customFormat="1" ht="50" customHeight="1" spans="1:24">
      <c r="A30" s="39">
        <v>23</v>
      </c>
      <c r="B30" s="205"/>
      <c r="C30" s="185" t="str">
        <f>_xlfn.DISPIMG("ID_1D344B6954DA404A99AA33F1FE741BC1",1)</f>
        <v>=DISPIMG("ID_1D344B6954DA404A99AA33F1FE741BC1",1)</v>
      </c>
      <c r="D30" s="39" t="s">
        <v>281</v>
      </c>
      <c r="E30" s="196" t="s">
        <v>282</v>
      </c>
      <c r="F30" s="49" t="s">
        <v>283</v>
      </c>
      <c r="G30" s="49" t="s">
        <v>284</v>
      </c>
      <c r="H30" s="49" t="s">
        <v>285</v>
      </c>
      <c r="I30" s="214" t="s">
        <v>286</v>
      </c>
      <c r="J30" s="292" t="s">
        <v>287</v>
      </c>
      <c r="K30" s="114">
        <v>74.6</v>
      </c>
      <c r="L30" s="215">
        <v>497.4</v>
      </c>
      <c r="M30" s="215">
        <v>5.3</v>
      </c>
      <c r="N30" s="164">
        <v>15000</v>
      </c>
      <c r="O30" s="164">
        <v>19000</v>
      </c>
      <c r="P30" s="164">
        <v>23000</v>
      </c>
      <c r="Q30" s="164">
        <v>33000</v>
      </c>
      <c r="R30" s="164" t="s">
        <v>288</v>
      </c>
      <c r="S30" s="164" t="s">
        <v>39</v>
      </c>
      <c r="T30" s="164" t="s">
        <v>289</v>
      </c>
      <c r="U30" s="164" t="s">
        <v>290</v>
      </c>
      <c r="V30" s="164" t="s">
        <v>291</v>
      </c>
      <c r="W30" s="49" t="s">
        <v>39</v>
      </c>
      <c r="X30" s="49" t="s">
        <v>43</v>
      </c>
    </row>
    <row r="31" s="1" customFormat="1" ht="50" customHeight="1" spans="1:24">
      <c r="A31" s="34">
        <v>24</v>
      </c>
      <c r="B31" s="202"/>
      <c r="C31" s="190" t="str">
        <f>_xlfn.DISPIMG("ID_FEB94C407785406D8B9A5BFEF8C1C7F2",1)</f>
        <v>=DISPIMG("ID_FEB94C407785406D8B9A5BFEF8C1C7F2",1)</v>
      </c>
      <c r="D31" s="34" t="s">
        <v>292</v>
      </c>
      <c r="E31" s="191" t="s">
        <v>293</v>
      </c>
      <c r="F31" s="48" t="s">
        <v>294</v>
      </c>
      <c r="G31" s="48" t="s">
        <v>284</v>
      </c>
      <c r="H31" s="48" t="s">
        <v>295</v>
      </c>
      <c r="I31" s="216" t="s">
        <v>296</v>
      </c>
      <c r="J31" s="293" t="s">
        <v>297</v>
      </c>
      <c r="K31" s="121">
        <v>104.2</v>
      </c>
      <c r="L31" s="166">
        <v>846.7</v>
      </c>
      <c r="M31" s="166">
        <v>21.7</v>
      </c>
      <c r="N31" s="217">
        <v>20000</v>
      </c>
      <c r="O31" s="217">
        <v>30000</v>
      </c>
      <c r="P31" s="217">
        <v>40000</v>
      </c>
      <c r="Q31" s="217">
        <v>50000</v>
      </c>
      <c r="R31" s="217" t="s">
        <v>224</v>
      </c>
      <c r="S31" s="217" t="s">
        <v>39</v>
      </c>
      <c r="T31" s="217" t="s">
        <v>298</v>
      </c>
      <c r="U31" s="217" t="s">
        <v>299</v>
      </c>
      <c r="V31" s="217" t="s">
        <v>300</v>
      </c>
      <c r="W31" s="48" t="s">
        <v>39</v>
      </c>
      <c r="X31" s="48" t="s">
        <v>43</v>
      </c>
    </row>
    <row r="32" s="1" customFormat="1" ht="50" customHeight="1" spans="1:24">
      <c r="A32" s="39">
        <v>25</v>
      </c>
      <c r="B32" s="205"/>
      <c r="C32" s="185" t="str">
        <f>_xlfn.DISPIMG("ID_1AD7FD21BEB54C18981E40DA34D8D2E3",1)</f>
        <v>=DISPIMG("ID_1AD7FD21BEB54C18981E40DA34D8D2E3",1)</v>
      </c>
      <c r="D32" s="39" t="s">
        <v>301</v>
      </c>
      <c r="E32" s="196" t="s">
        <v>302</v>
      </c>
      <c r="F32" s="49" t="s">
        <v>303</v>
      </c>
      <c r="G32" s="49" t="s">
        <v>272</v>
      </c>
      <c r="H32" s="49" t="s">
        <v>304</v>
      </c>
      <c r="I32" s="214" t="s">
        <v>305</v>
      </c>
      <c r="J32" s="114" t="s">
        <v>306</v>
      </c>
      <c r="K32" s="114">
        <v>17.2</v>
      </c>
      <c r="L32" s="215">
        <v>208.1</v>
      </c>
      <c r="M32" s="215">
        <v>9</v>
      </c>
      <c r="N32" s="164">
        <v>10000</v>
      </c>
      <c r="O32" s="164">
        <v>18000</v>
      </c>
      <c r="P32" s="164">
        <v>20000</v>
      </c>
      <c r="Q32" s="164">
        <v>30000</v>
      </c>
      <c r="R32" s="164" t="s">
        <v>288</v>
      </c>
      <c r="S32" s="164" t="s">
        <v>39</v>
      </c>
      <c r="T32" s="164" t="s">
        <v>307</v>
      </c>
      <c r="U32" s="164" t="s">
        <v>308</v>
      </c>
      <c r="V32" s="164" t="s">
        <v>309</v>
      </c>
      <c r="W32" s="49" t="s">
        <v>310</v>
      </c>
      <c r="X32" s="49" t="s">
        <v>43</v>
      </c>
    </row>
    <row r="33" s="172" customFormat="1" ht="25" customHeight="1" spans="1:24">
      <c r="A33" s="206"/>
      <c r="B33" s="206"/>
      <c r="C33" s="206"/>
      <c r="D33" s="206"/>
      <c r="E33" s="206"/>
      <c r="F33" s="206"/>
      <c r="G33" s="206"/>
      <c r="H33" s="206"/>
      <c r="I33" s="206"/>
      <c r="J33" s="227" t="s">
        <v>311</v>
      </c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</row>
    <row r="34" s="1" customFormat="1" ht="50" customHeight="1" spans="1:24">
      <c r="A34" s="34">
        <v>26</v>
      </c>
      <c r="B34" s="207"/>
      <c r="C34" s="190" t="str">
        <f>_xlfn.DISPIMG("ID_2C935C190FE24B4C8D67824FAA1EEA29",1)</f>
        <v>=DISPIMG("ID_2C935C190FE24B4C8D67824FAA1EEA29",1)</v>
      </c>
      <c r="D34" s="34" t="s">
        <v>312</v>
      </c>
      <c r="E34" s="204" t="s">
        <v>313</v>
      </c>
      <c r="F34" s="48" t="s">
        <v>314</v>
      </c>
      <c r="G34" s="200" t="s">
        <v>315</v>
      </c>
      <c r="H34" s="48" t="s">
        <v>316</v>
      </c>
      <c r="I34" s="216" t="s">
        <v>317</v>
      </c>
      <c r="J34" s="121" t="s">
        <v>318</v>
      </c>
      <c r="K34" s="121">
        <v>198.5</v>
      </c>
      <c r="L34" s="166">
        <v>307.8</v>
      </c>
      <c r="M34" s="166">
        <v>9.8</v>
      </c>
      <c r="N34" s="217">
        <v>35000</v>
      </c>
      <c r="O34" s="217">
        <v>45000</v>
      </c>
      <c r="P34" s="217">
        <v>50000</v>
      </c>
      <c r="Q34" s="217" t="s">
        <v>39</v>
      </c>
      <c r="R34" s="217" t="s">
        <v>88</v>
      </c>
      <c r="S34" s="217" t="s">
        <v>39</v>
      </c>
      <c r="T34" s="217" t="s">
        <v>319</v>
      </c>
      <c r="U34" s="217" t="s">
        <v>320</v>
      </c>
      <c r="V34" s="217" t="s">
        <v>321</v>
      </c>
      <c r="W34" s="48" t="s">
        <v>322</v>
      </c>
      <c r="X34" s="48" t="s">
        <v>43</v>
      </c>
    </row>
    <row r="35" s="1" customFormat="1" ht="50" customHeight="1" spans="1:24">
      <c r="A35" s="39">
        <v>27</v>
      </c>
      <c r="B35" s="203"/>
      <c r="C35" s="185" t="str">
        <f>_xlfn.DISPIMG("ID_7542F921225141E8913F0A8FFA70BFFC",1)</f>
        <v>=DISPIMG("ID_7542F921225141E8913F0A8FFA70BFFC",1)</v>
      </c>
      <c r="D35" s="39" t="s">
        <v>323</v>
      </c>
      <c r="E35" s="186" t="s">
        <v>324</v>
      </c>
      <c r="F35" s="49" t="s">
        <v>325</v>
      </c>
      <c r="G35" s="49" t="s">
        <v>326</v>
      </c>
      <c r="H35" s="49" t="s">
        <v>327</v>
      </c>
      <c r="I35" s="214" t="s">
        <v>328</v>
      </c>
      <c r="J35" s="114" t="s">
        <v>329</v>
      </c>
      <c r="K35" s="114">
        <v>43.9</v>
      </c>
      <c r="L35" s="215">
        <v>117.7</v>
      </c>
      <c r="M35" s="228">
        <v>3.2</v>
      </c>
      <c r="N35" s="221">
        <v>65000</v>
      </c>
      <c r="O35" s="221">
        <v>75000</v>
      </c>
      <c r="P35" s="221">
        <v>90000</v>
      </c>
      <c r="Q35" s="221">
        <v>100000</v>
      </c>
      <c r="R35" s="164" t="s">
        <v>39</v>
      </c>
      <c r="S35" s="164" t="s">
        <v>39</v>
      </c>
      <c r="T35" s="164" t="s">
        <v>330</v>
      </c>
      <c r="U35" s="164" t="s">
        <v>331</v>
      </c>
      <c r="V35" s="114" t="s">
        <v>332</v>
      </c>
      <c r="W35" s="49" t="s">
        <v>333</v>
      </c>
      <c r="X35" s="49" t="s">
        <v>43</v>
      </c>
    </row>
    <row r="36" s="1" customFormat="1" ht="50" customHeight="1" spans="1:24">
      <c r="A36" s="34">
        <v>28</v>
      </c>
      <c r="B36" s="207"/>
      <c r="C36" s="190" t="str">
        <f>_xlfn.DISPIMG("ID_3AEE1533498C42C682BDD6B9C65794AD",1)</f>
        <v>=DISPIMG("ID_3AEE1533498C42C682BDD6B9C65794AD",1)</v>
      </c>
      <c r="D36" s="34" t="s">
        <v>334</v>
      </c>
      <c r="E36" s="204" t="s">
        <v>335</v>
      </c>
      <c r="F36" s="48">
        <v>790814775</v>
      </c>
      <c r="G36" s="48" t="s">
        <v>336</v>
      </c>
      <c r="H36" s="48" t="s">
        <v>337</v>
      </c>
      <c r="I36" s="216" t="s">
        <v>338</v>
      </c>
      <c r="J36" s="121" t="s">
        <v>339</v>
      </c>
      <c r="K36" s="121">
        <v>151.7</v>
      </c>
      <c r="L36" s="166">
        <v>100.5</v>
      </c>
      <c r="M36" s="166">
        <v>1.2</v>
      </c>
      <c r="N36" s="220">
        <v>22000</v>
      </c>
      <c r="O36" s="220">
        <v>25000</v>
      </c>
      <c r="P36" s="220">
        <v>28000</v>
      </c>
      <c r="Q36" s="220">
        <v>35000</v>
      </c>
      <c r="R36" s="220" t="s">
        <v>88</v>
      </c>
      <c r="S36" s="220" t="s">
        <v>39</v>
      </c>
      <c r="T36" s="217" t="s">
        <v>340</v>
      </c>
      <c r="U36" s="217" t="s">
        <v>341</v>
      </c>
      <c r="V36" s="121" t="s">
        <v>342</v>
      </c>
      <c r="W36" s="48" t="s">
        <v>343</v>
      </c>
      <c r="X36" s="48" t="s">
        <v>203</v>
      </c>
    </row>
    <row r="37" s="1" customFormat="1" ht="50" customHeight="1" spans="1:24">
      <c r="A37" s="39">
        <v>29</v>
      </c>
      <c r="B37" s="203"/>
      <c r="C37" s="185" t="str">
        <f>_xlfn.DISPIMG("ID_E65F31F26679490A80EC65F48E8EC704",1)</f>
        <v>=DISPIMG("ID_E65F31F26679490A80EC65F48E8EC704",1)</v>
      </c>
      <c r="D37" s="39" t="s">
        <v>344</v>
      </c>
      <c r="E37" s="196" t="s">
        <v>345</v>
      </c>
      <c r="F37" s="49" t="s">
        <v>346</v>
      </c>
      <c r="G37" s="49" t="s">
        <v>336</v>
      </c>
      <c r="H37" s="49" t="s">
        <v>347</v>
      </c>
      <c r="I37" s="214" t="s">
        <v>348</v>
      </c>
      <c r="J37" s="114" t="s">
        <v>349</v>
      </c>
      <c r="K37" s="114">
        <v>52.6</v>
      </c>
      <c r="L37" s="215">
        <v>181</v>
      </c>
      <c r="M37" s="215">
        <v>3.7</v>
      </c>
      <c r="N37" s="164">
        <v>6000</v>
      </c>
      <c r="O37" s="164">
        <v>8500</v>
      </c>
      <c r="P37" s="164">
        <v>12500</v>
      </c>
      <c r="Q37" s="164">
        <v>18000</v>
      </c>
      <c r="R37" s="164" t="s">
        <v>88</v>
      </c>
      <c r="S37" s="164" t="s">
        <v>39</v>
      </c>
      <c r="T37" s="164" t="s">
        <v>350</v>
      </c>
      <c r="U37" s="164" t="s">
        <v>351</v>
      </c>
      <c r="V37" s="114" t="s">
        <v>352</v>
      </c>
      <c r="W37" s="49" t="s">
        <v>353</v>
      </c>
      <c r="X37" s="49" t="s">
        <v>354</v>
      </c>
    </row>
    <row r="38" s="1" customFormat="1" ht="50" customHeight="1" spans="1:24">
      <c r="A38" s="34">
        <v>30</v>
      </c>
      <c r="B38" s="207"/>
      <c r="C38" s="190" t="str">
        <f>_xlfn.DISPIMG("ID_A72D91D1F8AA4E5DB1D578D1F96213F5",1)</f>
        <v>=DISPIMG("ID_A72D91D1F8AA4E5DB1D578D1F96213F5",1)</v>
      </c>
      <c r="D38" s="34" t="s">
        <v>355</v>
      </c>
      <c r="E38" s="191" t="s">
        <v>356</v>
      </c>
      <c r="F38" s="48" t="s">
        <v>357</v>
      </c>
      <c r="G38" s="48" t="s">
        <v>358</v>
      </c>
      <c r="H38" s="48" t="s">
        <v>359</v>
      </c>
      <c r="I38" s="216" t="s">
        <v>360</v>
      </c>
      <c r="J38" s="121" t="s">
        <v>361</v>
      </c>
      <c r="K38" s="121">
        <v>20.3</v>
      </c>
      <c r="L38" s="166">
        <v>79.7</v>
      </c>
      <c r="M38" s="166">
        <v>2.1</v>
      </c>
      <c r="N38" s="217">
        <v>22000</v>
      </c>
      <c r="O38" s="217">
        <v>25000</v>
      </c>
      <c r="P38" s="217">
        <v>28000</v>
      </c>
      <c r="Q38" s="217">
        <v>35000</v>
      </c>
      <c r="R38" s="217" t="s">
        <v>88</v>
      </c>
      <c r="S38" s="217" t="s">
        <v>39</v>
      </c>
      <c r="T38" s="217" t="s">
        <v>362</v>
      </c>
      <c r="U38" s="217" t="s">
        <v>363</v>
      </c>
      <c r="V38" s="121" t="s">
        <v>364</v>
      </c>
      <c r="W38" s="48" t="s">
        <v>365</v>
      </c>
      <c r="X38" s="48" t="s">
        <v>354</v>
      </c>
    </row>
    <row r="39" s="1" customFormat="1" ht="25" customHeight="1" spans="1:24">
      <c r="A39" s="208"/>
      <c r="B39" s="208"/>
      <c r="C39" s="208"/>
      <c r="D39" s="208"/>
      <c r="E39" s="208"/>
      <c r="F39" s="208"/>
      <c r="G39" s="208"/>
      <c r="H39" s="208"/>
      <c r="I39" s="208"/>
      <c r="J39" s="229" t="s">
        <v>366</v>
      </c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</row>
    <row r="40" s="1" customFormat="1" ht="50" customHeight="1" spans="1:24">
      <c r="A40" s="34">
        <v>31</v>
      </c>
      <c r="B40" s="202"/>
      <c r="C40" s="190" t="str">
        <f>_xlfn.DISPIMG("ID_58CB13A978C944FEAE326BEF7E8454C2",1)</f>
        <v>=DISPIMG("ID_58CB13A978C944FEAE326BEF7E8454C2",1)</v>
      </c>
      <c r="D40" s="34" t="s">
        <v>367</v>
      </c>
      <c r="E40" s="191" t="s">
        <v>368</v>
      </c>
      <c r="F40" s="48">
        <v>25081778</v>
      </c>
      <c r="G40" s="48" t="s">
        <v>369</v>
      </c>
      <c r="H40" s="48" t="s">
        <v>370</v>
      </c>
      <c r="I40" s="216" t="s">
        <v>371</v>
      </c>
      <c r="J40" s="121" t="s">
        <v>372</v>
      </c>
      <c r="K40" s="121">
        <v>345.7</v>
      </c>
      <c r="L40" s="166">
        <v>14</v>
      </c>
      <c r="M40" s="166">
        <v>0.7</v>
      </c>
      <c r="N40" s="217" t="s">
        <v>39</v>
      </c>
      <c r="O40" s="217">
        <v>88000</v>
      </c>
      <c r="P40" s="217">
        <v>88000</v>
      </c>
      <c r="Q40" s="217">
        <v>98000</v>
      </c>
      <c r="R40" s="217" t="s">
        <v>88</v>
      </c>
      <c r="S40" s="217" t="s">
        <v>39</v>
      </c>
      <c r="T40" s="217" t="s">
        <v>373</v>
      </c>
      <c r="U40" s="217" t="s">
        <v>374</v>
      </c>
      <c r="V40" s="121" t="s">
        <v>375</v>
      </c>
      <c r="W40" s="48" t="s">
        <v>376</v>
      </c>
      <c r="X40" s="48" t="s">
        <v>43</v>
      </c>
    </row>
    <row r="41" s="1" customFormat="1" ht="50" customHeight="1" spans="1:24">
      <c r="A41" s="39">
        <v>32</v>
      </c>
      <c r="B41" s="205"/>
      <c r="C41" s="185" t="str">
        <f>_xlfn.DISPIMG("ID_8BCE00600B2C4CC8B5E75810E8F2F99B",1)</f>
        <v>=DISPIMG("ID_8BCE00600B2C4CC8B5E75810E8F2F99B",1)</v>
      </c>
      <c r="D41" s="39" t="s">
        <v>377</v>
      </c>
      <c r="E41" s="186" t="s">
        <v>378</v>
      </c>
      <c r="F41" s="49" t="s">
        <v>379</v>
      </c>
      <c r="G41" s="114" t="s">
        <v>380</v>
      </c>
      <c r="H41" s="49" t="s">
        <v>381</v>
      </c>
      <c r="I41" s="214" t="s">
        <v>382</v>
      </c>
      <c r="J41" s="114" t="s">
        <v>383</v>
      </c>
      <c r="K41" s="114">
        <v>625.8</v>
      </c>
      <c r="L41" s="215">
        <v>45.8</v>
      </c>
      <c r="M41" s="164">
        <v>0.8</v>
      </c>
      <c r="N41" s="164">
        <v>77000</v>
      </c>
      <c r="O41" s="164">
        <v>88000</v>
      </c>
      <c r="P41" s="164">
        <v>99000</v>
      </c>
      <c r="Q41" s="164">
        <v>110000</v>
      </c>
      <c r="R41" s="164" t="s">
        <v>88</v>
      </c>
      <c r="S41" s="164" t="s">
        <v>39</v>
      </c>
      <c r="T41" s="164" t="s">
        <v>384</v>
      </c>
      <c r="U41" s="164" t="s">
        <v>385</v>
      </c>
      <c r="V41" s="114" t="s">
        <v>386</v>
      </c>
      <c r="W41" s="49" t="s">
        <v>387</v>
      </c>
      <c r="X41" s="49" t="s">
        <v>43</v>
      </c>
    </row>
    <row r="42" s="1" customFormat="1" ht="50" customHeight="1" spans="1:24">
      <c r="A42" s="34">
        <v>33</v>
      </c>
      <c r="B42" s="189" t="s">
        <v>388</v>
      </c>
      <c r="C42" s="158" t="str">
        <f>_xlfn.DISPIMG("ID_C8BADE3D4A3546AB8BBD2F2D95EF573B",1)</f>
        <v>=DISPIMG("ID_C8BADE3D4A3546AB8BBD2F2D95EF573B",1)</v>
      </c>
      <c r="D42" s="34" t="s">
        <v>389</v>
      </c>
      <c r="E42" s="191" t="s">
        <v>390</v>
      </c>
      <c r="F42" s="48" t="s">
        <v>391</v>
      </c>
      <c r="G42" s="48" t="s">
        <v>392</v>
      </c>
      <c r="H42" s="48" t="s">
        <v>393</v>
      </c>
      <c r="I42" s="48" t="s">
        <v>394</v>
      </c>
      <c r="J42" s="293" t="s">
        <v>395</v>
      </c>
      <c r="K42" s="121">
        <v>106.1</v>
      </c>
      <c r="L42" s="166">
        <v>37.2</v>
      </c>
      <c r="M42" s="166">
        <v>1.1</v>
      </c>
      <c r="N42" s="220">
        <v>30000</v>
      </c>
      <c r="O42" s="220">
        <v>40000</v>
      </c>
      <c r="P42" s="220">
        <v>50000</v>
      </c>
      <c r="Q42" s="220" t="s">
        <v>39</v>
      </c>
      <c r="R42" s="217" t="s">
        <v>396</v>
      </c>
      <c r="S42" s="217" t="s">
        <v>39</v>
      </c>
      <c r="T42" s="217" t="s">
        <v>397</v>
      </c>
      <c r="U42" s="217" t="s">
        <v>398</v>
      </c>
      <c r="V42" s="121" t="s">
        <v>399</v>
      </c>
      <c r="W42" s="48" t="s">
        <v>400</v>
      </c>
      <c r="X42" s="48" t="s">
        <v>147</v>
      </c>
    </row>
    <row r="43" s="1" customFormat="1" ht="50" customHeight="1" spans="1:24">
      <c r="A43" s="39">
        <v>34</v>
      </c>
      <c r="B43" s="205"/>
      <c r="C43" s="185" t="str">
        <f>_xlfn.DISPIMG("ID_4D2DF88B0E1B48C4960BD88ED302D742",1)</f>
        <v>=DISPIMG("ID_4D2DF88B0E1B48C4960BD88ED302D742",1)</v>
      </c>
      <c r="D43" s="39" t="s">
        <v>401</v>
      </c>
      <c r="E43" s="186" t="s">
        <v>402</v>
      </c>
      <c r="F43" s="49">
        <v>87874775918</v>
      </c>
      <c r="G43" s="114" t="s">
        <v>403</v>
      </c>
      <c r="H43" s="49" t="s">
        <v>404</v>
      </c>
      <c r="I43" s="214" t="s">
        <v>405</v>
      </c>
      <c r="J43" s="114" t="s">
        <v>406</v>
      </c>
      <c r="K43" s="114">
        <v>41.2</v>
      </c>
      <c r="L43" s="215">
        <v>55.4</v>
      </c>
      <c r="M43" s="215">
        <v>3.2</v>
      </c>
      <c r="N43" s="164">
        <v>22000</v>
      </c>
      <c r="O43" s="164">
        <v>55000</v>
      </c>
      <c r="P43" s="164">
        <v>60000</v>
      </c>
      <c r="Q43" s="164">
        <v>70000</v>
      </c>
      <c r="R43" s="164" t="s">
        <v>88</v>
      </c>
      <c r="S43" s="164" t="s">
        <v>39</v>
      </c>
      <c r="T43" s="164" t="s">
        <v>407</v>
      </c>
      <c r="U43" s="164" t="s">
        <v>408</v>
      </c>
      <c r="V43" s="114" t="s">
        <v>409</v>
      </c>
      <c r="W43" s="49" t="s">
        <v>410</v>
      </c>
      <c r="X43" s="49" t="s">
        <v>43</v>
      </c>
    </row>
    <row r="44" s="1" customFormat="1" ht="50" customHeight="1" spans="1:24">
      <c r="A44" s="34">
        <v>35</v>
      </c>
      <c r="B44" s="202"/>
      <c r="C44" s="190" t="str">
        <f>_xlfn.DISPIMG("ID_DED44950FB3F4536AFD79051CF630AE4",1)</f>
        <v>=DISPIMG("ID_DED44950FB3F4536AFD79051CF630AE4",1)</v>
      </c>
      <c r="D44" s="34" t="s">
        <v>411</v>
      </c>
      <c r="E44" s="191" t="s">
        <v>412</v>
      </c>
      <c r="F44" s="48" t="s">
        <v>413</v>
      </c>
      <c r="G44" s="48" t="s">
        <v>414</v>
      </c>
      <c r="H44" s="48" t="s">
        <v>415</v>
      </c>
      <c r="I44" s="216" t="s">
        <v>416</v>
      </c>
      <c r="J44" s="293" t="s">
        <v>417</v>
      </c>
      <c r="K44" s="121">
        <v>7.3</v>
      </c>
      <c r="L44" s="166" t="s">
        <v>39</v>
      </c>
      <c r="M44" s="166">
        <v>29.4</v>
      </c>
      <c r="N44" s="217">
        <v>15000</v>
      </c>
      <c r="O44" s="217">
        <v>30000</v>
      </c>
      <c r="P44" s="217">
        <v>35000</v>
      </c>
      <c r="Q44" s="217" t="s">
        <v>39</v>
      </c>
      <c r="R44" s="217" t="s">
        <v>418</v>
      </c>
      <c r="S44" s="217" t="s">
        <v>39</v>
      </c>
      <c r="T44" s="217" t="s">
        <v>419</v>
      </c>
      <c r="U44" s="217" t="s">
        <v>420</v>
      </c>
      <c r="V44" s="121" t="s">
        <v>39</v>
      </c>
      <c r="W44" s="48" t="s">
        <v>421</v>
      </c>
      <c r="X44" s="48" t="s">
        <v>354</v>
      </c>
    </row>
    <row r="45" s="1" customFormat="1" ht="50" customHeight="1" spans="1:24">
      <c r="A45" s="39">
        <v>36</v>
      </c>
      <c r="B45" s="205"/>
      <c r="C45" s="185" t="str">
        <f>_xlfn.DISPIMG("ID_5C96A558D2814A1081C1D1C7C29F22F8",1)</f>
        <v>=DISPIMG("ID_5C96A558D2814A1081C1D1C7C29F22F8",1)</v>
      </c>
      <c r="D45" s="39" t="s">
        <v>422</v>
      </c>
      <c r="E45" s="186" t="s">
        <v>423</v>
      </c>
      <c r="F45" s="49" t="s">
        <v>424</v>
      </c>
      <c r="G45" s="114" t="s">
        <v>425</v>
      </c>
      <c r="H45" s="49" t="s">
        <v>426</v>
      </c>
      <c r="I45" s="214" t="s">
        <v>427</v>
      </c>
      <c r="J45" s="114" t="s">
        <v>428</v>
      </c>
      <c r="K45" s="114">
        <v>131</v>
      </c>
      <c r="L45" s="215">
        <v>88.4</v>
      </c>
      <c r="M45" s="215">
        <v>14.2</v>
      </c>
      <c r="N45" s="164">
        <v>22000</v>
      </c>
      <c r="O45" s="164">
        <v>22000</v>
      </c>
      <c r="P45" s="164">
        <v>32500</v>
      </c>
      <c r="Q45" s="164">
        <v>42500</v>
      </c>
      <c r="R45" s="164" t="s">
        <v>88</v>
      </c>
      <c r="S45" s="164">
        <v>22000</v>
      </c>
      <c r="T45" s="164" t="s">
        <v>429</v>
      </c>
      <c r="U45" s="164" t="s">
        <v>430</v>
      </c>
      <c r="V45" s="114" t="s">
        <v>431</v>
      </c>
      <c r="W45" s="49" t="s">
        <v>432</v>
      </c>
      <c r="X45" s="49" t="s">
        <v>43</v>
      </c>
    </row>
    <row r="46" s="173" customFormat="1" ht="25" customHeight="1" spans="1:24">
      <c r="A46" s="122"/>
      <c r="B46" s="122"/>
      <c r="C46" s="122"/>
      <c r="D46" s="122"/>
      <c r="E46" s="122"/>
      <c r="F46" s="122"/>
      <c r="G46" s="122"/>
      <c r="H46" s="122"/>
      <c r="I46" s="122"/>
      <c r="J46" s="230" t="s">
        <v>433</v>
      </c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</row>
    <row r="47" s="1" customFormat="1" ht="50" customHeight="1" spans="1:24">
      <c r="A47" s="34">
        <v>37</v>
      </c>
      <c r="B47" s="202"/>
      <c r="C47" s="158" t="str">
        <f>_xlfn.DISPIMG("ID_C588A171468F4F38BE11E95099D43DD2",1)</f>
        <v>=DISPIMG("ID_C588A171468F4F38BE11E95099D43DD2",1)</v>
      </c>
      <c r="D47" s="188" t="s">
        <v>434</v>
      </c>
      <c r="E47" s="204" t="s">
        <v>435</v>
      </c>
      <c r="F47" s="48">
        <v>1184715895</v>
      </c>
      <c r="G47" s="48" t="s">
        <v>436</v>
      </c>
      <c r="H47" s="48" t="s">
        <v>437</v>
      </c>
      <c r="I47" s="216" t="s">
        <v>438</v>
      </c>
      <c r="J47" s="121" t="s">
        <v>439</v>
      </c>
      <c r="K47" s="121">
        <v>490.8</v>
      </c>
      <c r="L47" s="166">
        <v>70.1</v>
      </c>
      <c r="M47" s="166">
        <v>3.6</v>
      </c>
      <c r="N47" s="217">
        <v>78000</v>
      </c>
      <c r="O47" s="217">
        <v>88000</v>
      </c>
      <c r="P47" s="217">
        <v>101000</v>
      </c>
      <c r="Q47" s="217">
        <v>105000</v>
      </c>
      <c r="R47" s="217" t="s">
        <v>88</v>
      </c>
      <c r="S47" s="217" t="s">
        <v>440</v>
      </c>
      <c r="T47" s="217" t="s">
        <v>441</v>
      </c>
      <c r="U47" s="217" t="s">
        <v>442</v>
      </c>
      <c r="V47" s="121" t="s">
        <v>443</v>
      </c>
      <c r="W47" s="48" t="s">
        <v>444</v>
      </c>
      <c r="X47" s="48" t="s">
        <v>43</v>
      </c>
    </row>
    <row r="48" s="1" customFormat="1" ht="50" customHeight="1" spans="1:24">
      <c r="A48" s="39">
        <v>38</v>
      </c>
      <c r="B48" s="195" t="s">
        <v>44</v>
      </c>
      <c r="C48" s="185" t="str">
        <f>_xlfn.DISPIMG("ID_DE278334E28B49CCB87A3206F1ECC926",1)</f>
        <v>=DISPIMG("ID_DE278334E28B49CCB87A3206F1ECC926",1)</v>
      </c>
      <c r="D48" s="39" t="s">
        <v>445</v>
      </c>
      <c r="E48" s="186" t="s">
        <v>446</v>
      </c>
      <c r="F48" s="49" t="s">
        <v>447</v>
      </c>
      <c r="G48" s="49" t="s">
        <v>448</v>
      </c>
      <c r="H48" s="49" t="s">
        <v>449</v>
      </c>
      <c r="I48" s="214" t="s">
        <v>450</v>
      </c>
      <c r="J48" s="114" t="s">
        <v>451</v>
      </c>
      <c r="K48" s="114">
        <v>419.5</v>
      </c>
      <c r="L48" s="215">
        <v>49.7</v>
      </c>
      <c r="M48" s="215">
        <v>0.5</v>
      </c>
      <c r="N48" s="164">
        <v>50000</v>
      </c>
      <c r="O48" s="164">
        <v>60000</v>
      </c>
      <c r="P48" s="164">
        <v>70000</v>
      </c>
      <c r="Q48" s="164">
        <v>80000</v>
      </c>
      <c r="R48" s="164" t="s">
        <v>88</v>
      </c>
      <c r="S48" s="164" t="s">
        <v>39</v>
      </c>
      <c r="T48" s="164" t="s">
        <v>452</v>
      </c>
      <c r="U48" s="164" t="s">
        <v>453</v>
      </c>
      <c r="V48" s="114" t="s">
        <v>454</v>
      </c>
      <c r="W48" s="49" t="s">
        <v>455</v>
      </c>
      <c r="X48" s="49" t="s">
        <v>456</v>
      </c>
    </row>
    <row r="49" s="1" customFormat="1" ht="50" customHeight="1" spans="1:24">
      <c r="A49" s="34">
        <v>39</v>
      </c>
      <c r="B49" s="202"/>
      <c r="C49" s="158" t="str">
        <f>_xlfn.DISPIMG("ID_84E09DBA04F449429C52A0F8BBF9511A",1)</f>
        <v>=DISPIMG("ID_84E09DBA04F449429C52A0F8BBF9511A",1)</v>
      </c>
      <c r="D49" s="188" t="s">
        <v>457</v>
      </c>
      <c r="E49" s="204" t="s">
        <v>458</v>
      </c>
      <c r="F49" s="48">
        <v>25728100</v>
      </c>
      <c r="G49" s="48" t="s">
        <v>448</v>
      </c>
      <c r="H49" s="48" t="s">
        <v>459</v>
      </c>
      <c r="I49" s="216" t="s">
        <v>460</v>
      </c>
      <c r="J49" s="121" t="s">
        <v>461</v>
      </c>
      <c r="K49" s="121">
        <v>169.2</v>
      </c>
      <c r="L49" s="166">
        <v>51</v>
      </c>
      <c r="M49" s="166">
        <v>2.8</v>
      </c>
      <c r="N49" s="217">
        <v>35000</v>
      </c>
      <c r="O49" s="217">
        <v>40000</v>
      </c>
      <c r="P49" s="217">
        <v>42000</v>
      </c>
      <c r="Q49" s="217">
        <v>52000</v>
      </c>
      <c r="R49" s="217" t="s">
        <v>88</v>
      </c>
      <c r="S49" s="217">
        <v>30000</v>
      </c>
      <c r="T49" s="217" t="s">
        <v>330</v>
      </c>
      <c r="U49" s="217" t="s">
        <v>462</v>
      </c>
      <c r="V49" s="121" t="s">
        <v>463</v>
      </c>
      <c r="W49" s="48" t="s">
        <v>464</v>
      </c>
      <c r="X49" s="48" t="s">
        <v>354</v>
      </c>
    </row>
    <row r="50" s="1" customFormat="1" ht="50" customHeight="1" spans="1:24">
      <c r="A50" s="39">
        <v>40</v>
      </c>
      <c r="B50" s="195"/>
      <c r="C50" s="185" t="str">
        <f>_xlfn.DISPIMG("ID_983AF3551FD142A28B6EF5D37FE90C59",1)</f>
        <v>=DISPIMG("ID_983AF3551FD142A28B6EF5D37FE90C59",1)</v>
      </c>
      <c r="D50" s="39" t="s">
        <v>465</v>
      </c>
      <c r="E50" s="186" t="s">
        <v>466</v>
      </c>
      <c r="F50" s="49">
        <v>6739527</v>
      </c>
      <c r="G50" s="49" t="s">
        <v>467</v>
      </c>
      <c r="H50" s="49" t="s">
        <v>468</v>
      </c>
      <c r="I50" s="214" t="s">
        <v>469</v>
      </c>
      <c r="J50" s="114" t="s">
        <v>470</v>
      </c>
      <c r="K50" s="114">
        <v>298.5</v>
      </c>
      <c r="L50" s="215">
        <v>80</v>
      </c>
      <c r="M50" s="215">
        <v>3.4</v>
      </c>
      <c r="N50" s="164">
        <v>58000</v>
      </c>
      <c r="O50" s="164">
        <v>68000</v>
      </c>
      <c r="P50" s="164">
        <v>78000</v>
      </c>
      <c r="Q50" s="164" t="s">
        <v>39</v>
      </c>
      <c r="R50" s="164" t="s">
        <v>88</v>
      </c>
      <c r="S50" s="164" t="s">
        <v>39</v>
      </c>
      <c r="T50" s="164" t="s">
        <v>471</v>
      </c>
      <c r="U50" s="164" t="s">
        <v>472</v>
      </c>
      <c r="V50" s="114" t="s">
        <v>473</v>
      </c>
      <c r="W50" s="49" t="s">
        <v>474</v>
      </c>
      <c r="X50" s="49" t="s">
        <v>43</v>
      </c>
    </row>
    <row r="51" s="1" customFormat="1" ht="50" customHeight="1" spans="1:24">
      <c r="A51" s="34">
        <v>41</v>
      </c>
      <c r="B51" s="189" t="s">
        <v>44</v>
      </c>
      <c r="C51" s="158" t="str">
        <f>_xlfn.DISPIMG("ID_ACC5A9162EF34D1C82966AE35BC5288E",1)</f>
        <v>=DISPIMG("ID_ACC5A9162EF34D1C82966AE35BC5288E",1)</v>
      </c>
      <c r="D51" s="188" t="s">
        <v>475</v>
      </c>
      <c r="E51" s="204" t="s">
        <v>476</v>
      </c>
      <c r="F51" s="48" t="s">
        <v>477</v>
      </c>
      <c r="G51" s="48" t="s">
        <v>478</v>
      </c>
      <c r="H51" s="48" t="s">
        <v>479</v>
      </c>
      <c r="I51" s="216" t="s">
        <v>480</v>
      </c>
      <c r="J51" s="121" t="s">
        <v>481</v>
      </c>
      <c r="K51" s="121">
        <v>52.3</v>
      </c>
      <c r="L51" s="166">
        <v>257.4</v>
      </c>
      <c r="M51" s="166">
        <v>7.5</v>
      </c>
      <c r="N51" s="217">
        <v>20000</v>
      </c>
      <c r="O51" s="217">
        <v>28000</v>
      </c>
      <c r="P51" s="217">
        <v>30000</v>
      </c>
      <c r="Q51" s="217">
        <v>40000</v>
      </c>
      <c r="R51" s="217" t="s">
        <v>88</v>
      </c>
      <c r="S51" s="217">
        <v>28000</v>
      </c>
      <c r="T51" s="217" t="s">
        <v>482</v>
      </c>
      <c r="U51" s="217" t="s">
        <v>483</v>
      </c>
      <c r="V51" s="121" t="s">
        <v>484</v>
      </c>
      <c r="W51" s="48" t="s">
        <v>485</v>
      </c>
      <c r="X51" s="48" t="s">
        <v>43</v>
      </c>
    </row>
    <row r="52" s="1" customFormat="1" ht="50" customHeight="1" spans="1:24">
      <c r="A52" s="39">
        <v>42</v>
      </c>
      <c r="B52" s="195"/>
      <c r="C52" s="185" t="str">
        <f>_xlfn.DISPIMG("ID_5A2303BEB2E64EB79F2228CF37EA448D",1)</f>
        <v>=DISPIMG("ID_5A2303BEB2E64EB79F2228CF37EA448D",1)</v>
      </c>
      <c r="D52" s="39" t="s">
        <v>486</v>
      </c>
      <c r="E52" s="186" t="s">
        <v>487</v>
      </c>
      <c r="F52" s="49" t="s">
        <v>488</v>
      </c>
      <c r="G52" s="49" t="s">
        <v>448</v>
      </c>
      <c r="H52" s="49" t="s">
        <v>489</v>
      </c>
      <c r="I52" s="214" t="s">
        <v>490</v>
      </c>
      <c r="J52" s="114" t="s">
        <v>491</v>
      </c>
      <c r="K52" s="114">
        <v>403.7</v>
      </c>
      <c r="L52" s="215">
        <v>298.8</v>
      </c>
      <c r="M52" s="215">
        <v>3.1</v>
      </c>
      <c r="N52" s="164">
        <v>32000</v>
      </c>
      <c r="O52" s="164">
        <v>49000</v>
      </c>
      <c r="P52" s="164">
        <v>75000</v>
      </c>
      <c r="Q52" s="164">
        <v>85000</v>
      </c>
      <c r="R52" s="164" t="s">
        <v>88</v>
      </c>
      <c r="S52" s="164" t="s">
        <v>39</v>
      </c>
      <c r="T52" s="164" t="s">
        <v>492</v>
      </c>
      <c r="U52" s="164" t="s">
        <v>493</v>
      </c>
      <c r="V52" s="114" t="s">
        <v>494</v>
      </c>
      <c r="W52" s="49" t="s">
        <v>495</v>
      </c>
      <c r="X52" s="49" t="s">
        <v>354</v>
      </c>
    </row>
    <row r="53" s="1" customFormat="1" ht="50" customHeight="1" spans="1:24">
      <c r="A53" s="34">
        <v>43</v>
      </c>
      <c r="B53" s="202"/>
      <c r="C53" s="158" t="str">
        <f>_xlfn.DISPIMG("ID_A06A04E18C8443698F5C8FFB59C2D25A",1)</f>
        <v>=DISPIMG("ID_A06A04E18C8443698F5C8FFB59C2D25A",1)</v>
      </c>
      <c r="D53" s="188" t="s">
        <v>496</v>
      </c>
      <c r="E53" s="204" t="s">
        <v>497</v>
      </c>
      <c r="F53" s="48" t="s">
        <v>498</v>
      </c>
      <c r="G53" s="48" t="s">
        <v>448</v>
      </c>
      <c r="H53" s="48" t="s">
        <v>499</v>
      </c>
      <c r="I53" s="216" t="s">
        <v>500</v>
      </c>
      <c r="J53" s="121" t="s">
        <v>501</v>
      </c>
      <c r="K53" s="121">
        <v>334.2</v>
      </c>
      <c r="L53" s="166">
        <v>135.2</v>
      </c>
      <c r="M53" s="166">
        <v>1.3</v>
      </c>
      <c r="N53" s="217">
        <v>22000</v>
      </c>
      <c r="O53" s="217">
        <v>25000</v>
      </c>
      <c r="P53" s="217">
        <v>38000</v>
      </c>
      <c r="Q53" s="217">
        <v>48000</v>
      </c>
      <c r="R53" s="217" t="s">
        <v>88</v>
      </c>
      <c r="S53" s="217" t="s">
        <v>39</v>
      </c>
      <c r="T53" s="217" t="s">
        <v>256</v>
      </c>
      <c r="U53" s="217" t="s">
        <v>502</v>
      </c>
      <c r="V53" s="121" t="s">
        <v>503</v>
      </c>
      <c r="W53" s="48" t="s">
        <v>504</v>
      </c>
      <c r="X53" s="48" t="s">
        <v>505</v>
      </c>
    </row>
    <row r="54" s="1" customFormat="1" ht="50" customHeight="1" spans="1:24">
      <c r="A54" s="39">
        <v>44</v>
      </c>
      <c r="B54" s="195"/>
      <c r="C54" s="185" t="str">
        <f>_xlfn.DISPIMG("ID_09BA762471984DF08FF683F37060C85D",1)</f>
        <v>=DISPIMG("ID_09BA762471984DF08FF683F37060C85D",1)</v>
      </c>
      <c r="D54" s="39" t="s">
        <v>506</v>
      </c>
      <c r="E54" s="186" t="s">
        <v>507</v>
      </c>
      <c r="F54" s="49">
        <v>12281560</v>
      </c>
      <c r="G54" s="49" t="s">
        <v>448</v>
      </c>
      <c r="H54" s="49" t="s">
        <v>508</v>
      </c>
      <c r="I54" s="214" t="s">
        <v>509</v>
      </c>
      <c r="J54" s="114" t="s">
        <v>510</v>
      </c>
      <c r="K54" s="114">
        <v>313.3</v>
      </c>
      <c r="L54" s="215">
        <v>147.4</v>
      </c>
      <c r="M54" s="215">
        <v>1.4</v>
      </c>
      <c r="N54" s="164">
        <v>28000</v>
      </c>
      <c r="O54" s="164">
        <v>39000</v>
      </c>
      <c r="P54" s="164">
        <v>50000</v>
      </c>
      <c r="Q54" s="164">
        <v>60000</v>
      </c>
      <c r="R54" s="164" t="s">
        <v>88</v>
      </c>
      <c r="S54" s="164" t="s">
        <v>39</v>
      </c>
      <c r="T54" s="164" t="s">
        <v>511</v>
      </c>
      <c r="U54" s="164" t="s">
        <v>512</v>
      </c>
      <c r="V54" s="114" t="s">
        <v>513</v>
      </c>
      <c r="W54" s="49" t="s">
        <v>514</v>
      </c>
      <c r="X54" s="49" t="s">
        <v>43</v>
      </c>
    </row>
    <row r="55" s="1" customFormat="1" ht="50" customHeight="1" spans="1:24">
      <c r="A55" s="34">
        <v>45</v>
      </c>
      <c r="B55" s="189" t="s">
        <v>388</v>
      </c>
      <c r="C55" s="158" t="str">
        <f>_xlfn.DISPIMG("ID_AEEC780DC1CA46EAAD088BBC47F54980",1)</f>
        <v>=DISPIMG("ID_AEEC780DC1CA46EAAD088BBC47F54980",1)</v>
      </c>
      <c r="D55" s="188" t="s">
        <v>515</v>
      </c>
      <c r="E55" s="204" t="s">
        <v>516</v>
      </c>
      <c r="F55" s="48" t="s">
        <v>517</v>
      </c>
      <c r="G55" s="48" t="s">
        <v>448</v>
      </c>
      <c r="H55" s="48" t="s">
        <v>518</v>
      </c>
      <c r="I55" s="48" t="s">
        <v>519</v>
      </c>
      <c r="J55" s="293" t="s">
        <v>520</v>
      </c>
      <c r="K55" s="121">
        <v>212.3</v>
      </c>
      <c r="L55" s="166">
        <v>133.6</v>
      </c>
      <c r="M55" s="166">
        <v>1.9</v>
      </c>
      <c r="N55" s="217">
        <v>40000</v>
      </c>
      <c r="O55" s="217">
        <v>45000</v>
      </c>
      <c r="P55" s="217">
        <v>65000</v>
      </c>
      <c r="Q55" s="217" t="s">
        <v>39</v>
      </c>
      <c r="R55" s="217" t="s">
        <v>39</v>
      </c>
      <c r="S55" s="217" t="s">
        <v>39</v>
      </c>
      <c r="T55" s="217" t="s">
        <v>521</v>
      </c>
      <c r="U55" s="217" t="s">
        <v>522</v>
      </c>
      <c r="V55" s="121" t="s">
        <v>523</v>
      </c>
      <c r="W55" s="48" t="s">
        <v>524</v>
      </c>
      <c r="X55" s="48" t="s">
        <v>354</v>
      </c>
    </row>
    <row r="56" s="1" customFormat="1" ht="50" customHeight="1" spans="1:24">
      <c r="A56" s="39">
        <v>46</v>
      </c>
      <c r="B56" s="195"/>
      <c r="C56" s="185" t="str">
        <f>_xlfn.DISPIMG("ID_70F1F0FFC48B4E6CBAAB57AAD6082D8C",1)</f>
        <v>=DISPIMG("ID_70F1F0FFC48B4E6CBAAB57AAD6082D8C",1)</v>
      </c>
      <c r="D56" s="39" t="s">
        <v>525</v>
      </c>
      <c r="E56" s="186" t="s">
        <v>526</v>
      </c>
      <c r="F56" s="49" t="s">
        <v>527</v>
      </c>
      <c r="G56" s="49" t="s">
        <v>448</v>
      </c>
      <c r="H56" s="49" t="s">
        <v>528</v>
      </c>
      <c r="I56" s="214" t="s">
        <v>529</v>
      </c>
      <c r="J56" s="292" t="s">
        <v>530</v>
      </c>
      <c r="K56" s="114">
        <v>155.2</v>
      </c>
      <c r="L56" s="215">
        <v>181</v>
      </c>
      <c r="M56" s="215">
        <v>2.5</v>
      </c>
      <c r="N56" s="164">
        <v>38000</v>
      </c>
      <c r="O56" s="164">
        <v>38000</v>
      </c>
      <c r="P56" s="164">
        <v>48000</v>
      </c>
      <c r="Q56" s="164">
        <v>58000</v>
      </c>
      <c r="R56" s="164" t="s">
        <v>531</v>
      </c>
      <c r="S56" s="164">
        <v>38000</v>
      </c>
      <c r="T56" s="164" t="s">
        <v>532</v>
      </c>
      <c r="U56" s="164" t="s">
        <v>533</v>
      </c>
      <c r="V56" s="114" t="s">
        <v>534</v>
      </c>
      <c r="W56" s="49" t="s">
        <v>535</v>
      </c>
      <c r="X56" s="49" t="s">
        <v>43</v>
      </c>
    </row>
    <row r="57" s="1" customFormat="1" ht="50" customHeight="1" spans="1:24">
      <c r="A57" s="34">
        <v>47</v>
      </c>
      <c r="B57" s="209"/>
      <c r="C57" s="158" t="str">
        <f>_xlfn.DISPIMG("ID_B69A1776C37C44EBB2E001E6E9DF2520",1)</f>
        <v>=DISPIMG("ID_B69A1776C37C44EBB2E001E6E9DF2520",1)</v>
      </c>
      <c r="D57" s="188" t="s">
        <v>536</v>
      </c>
      <c r="E57" s="204" t="s">
        <v>537</v>
      </c>
      <c r="F57" s="48">
        <v>96042301127</v>
      </c>
      <c r="G57" s="48" t="s">
        <v>538</v>
      </c>
      <c r="H57" s="48" t="s">
        <v>539</v>
      </c>
      <c r="I57" s="216" t="s">
        <v>540</v>
      </c>
      <c r="J57" s="121" t="s">
        <v>541</v>
      </c>
      <c r="K57" s="121">
        <v>312</v>
      </c>
      <c r="L57" s="166">
        <v>37.1</v>
      </c>
      <c r="M57" s="166">
        <v>0.5</v>
      </c>
      <c r="N57" s="217">
        <v>35000</v>
      </c>
      <c r="O57" s="217">
        <v>38000</v>
      </c>
      <c r="P57" s="217">
        <v>45000</v>
      </c>
      <c r="Q57" s="217">
        <v>55000</v>
      </c>
      <c r="R57" s="217" t="s">
        <v>88</v>
      </c>
      <c r="S57" s="217">
        <v>38000</v>
      </c>
      <c r="T57" s="217" t="s">
        <v>542</v>
      </c>
      <c r="U57" s="217" t="s">
        <v>543</v>
      </c>
      <c r="V57" s="121" t="s">
        <v>544</v>
      </c>
      <c r="W57" s="48" t="s">
        <v>545</v>
      </c>
      <c r="X57" s="48" t="s">
        <v>546</v>
      </c>
    </row>
    <row r="58" s="1" customFormat="1" ht="50" customHeight="1" spans="1:24">
      <c r="A58" s="39">
        <v>48</v>
      </c>
      <c r="B58" s="195" t="s">
        <v>388</v>
      </c>
      <c r="C58" s="185" t="str">
        <f>_xlfn.DISPIMG("ID_3EFA03DEBF684E7F86AE1EA29167FEEF",1)</f>
        <v>=DISPIMG("ID_3EFA03DEBF684E7F86AE1EA29167FEEF",1)</v>
      </c>
      <c r="D58" s="39" t="s">
        <v>547</v>
      </c>
      <c r="E58" s="186" t="s">
        <v>548</v>
      </c>
      <c r="F58" s="49" t="s">
        <v>549</v>
      </c>
      <c r="G58" s="49" t="s">
        <v>448</v>
      </c>
      <c r="H58" s="49" t="s">
        <v>550</v>
      </c>
      <c r="I58" s="214" t="s">
        <v>551</v>
      </c>
      <c r="J58" s="292" t="s">
        <v>552</v>
      </c>
      <c r="K58" s="114">
        <v>76.8</v>
      </c>
      <c r="L58" s="215">
        <v>29.7</v>
      </c>
      <c r="M58" s="215">
        <v>0.4</v>
      </c>
      <c r="N58" s="164">
        <v>8000</v>
      </c>
      <c r="O58" s="164">
        <v>9400</v>
      </c>
      <c r="P58" s="164">
        <v>12300</v>
      </c>
      <c r="Q58" s="164" t="s">
        <v>39</v>
      </c>
      <c r="R58" s="164" t="s">
        <v>553</v>
      </c>
      <c r="S58" s="164" t="s">
        <v>39</v>
      </c>
      <c r="T58" s="164" t="s">
        <v>554</v>
      </c>
      <c r="U58" s="164" t="s">
        <v>555</v>
      </c>
      <c r="V58" s="114" t="s">
        <v>556</v>
      </c>
      <c r="W58" s="49" t="s">
        <v>557</v>
      </c>
      <c r="X58" s="49" t="s">
        <v>43</v>
      </c>
    </row>
    <row r="59" s="1" customFormat="1" ht="50" customHeight="1" spans="1:24">
      <c r="A59" s="34">
        <v>49</v>
      </c>
      <c r="B59" s="209"/>
      <c r="C59" s="158" t="str">
        <f>_xlfn.DISPIMG("ID_4E9F617A8651445EA946708BFC1A02BF",1)</f>
        <v>=DISPIMG("ID_4E9F617A8651445EA946708BFC1A02BF",1)</v>
      </c>
      <c r="D59" s="188" t="s">
        <v>558</v>
      </c>
      <c r="E59" s="204" t="s">
        <v>559</v>
      </c>
      <c r="F59" s="48" t="s">
        <v>560</v>
      </c>
      <c r="G59" s="48" t="s">
        <v>448</v>
      </c>
      <c r="H59" s="48" t="s">
        <v>561</v>
      </c>
      <c r="I59" s="216" t="s">
        <v>562</v>
      </c>
      <c r="J59" s="121" t="s">
        <v>563</v>
      </c>
      <c r="K59" s="121">
        <v>38.4</v>
      </c>
      <c r="L59" s="166">
        <v>147.1</v>
      </c>
      <c r="M59" s="166">
        <v>2.4</v>
      </c>
      <c r="N59" s="217">
        <v>20000</v>
      </c>
      <c r="O59" s="217">
        <v>22000</v>
      </c>
      <c r="P59" s="217">
        <v>25000</v>
      </c>
      <c r="Q59" s="217">
        <v>35000</v>
      </c>
      <c r="R59" s="217" t="s">
        <v>88</v>
      </c>
      <c r="S59" s="217">
        <v>9000</v>
      </c>
      <c r="T59" s="217" t="s">
        <v>99</v>
      </c>
      <c r="U59" s="217" t="s">
        <v>564</v>
      </c>
      <c r="V59" s="121" t="s">
        <v>565</v>
      </c>
      <c r="W59" s="48" t="s">
        <v>566</v>
      </c>
      <c r="X59" s="48" t="s">
        <v>43</v>
      </c>
    </row>
    <row r="60" s="1" customFormat="1" ht="50" customHeight="1" spans="1:24">
      <c r="A60" s="39">
        <v>50</v>
      </c>
      <c r="B60" s="195"/>
      <c r="C60" s="185" t="str">
        <f>_xlfn.DISPIMG("ID_792E1E57CCA94F6DA3311C7643148082",1)</f>
        <v>=DISPIMG("ID_792E1E57CCA94F6DA3311C7643148082",1)</v>
      </c>
      <c r="D60" s="39" t="s">
        <v>567</v>
      </c>
      <c r="E60" s="186" t="s">
        <v>568</v>
      </c>
      <c r="F60" s="49" t="s">
        <v>569</v>
      </c>
      <c r="G60" s="49" t="s">
        <v>570</v>
      </c>
      <c r="H60" s="49" t="s">
        <v>571</v>
      </c>
      <c r="I60" s="214" t="s">
        <v>572</v>
      </c>
      <c r="J60" s="114" t="s">
        <v>573</v>
      </c>
      <c r="K60" s="114">
        <v>44.9</v>
      </c>
      <c r="L60" s="215">
        <v>16</v>
      </c>
      <c r="M60" s="215">
        <v>0.2</v>
      </c>
      <c r="N60" s="164">
        <v>6000</v>
      </c>
      <c r="O60" s="164">
        <v>10000</v>
      </c>
      <c r="P60" s="164">
        <v>15000</v>
      </c>
      <c r="Q60" s="164">
        <v>25000</v>
      </c>
      <c r="R60" s="164" t="s">
        <v>88</v>
      </c>
      <c r="S60" s="164" t="s">
        <v>39</v>
      </c>
      <c r="T60" s="164" t="s">
        <v>574</v>
      </c>
      <c r="U60" s="164" t="s">
        <v>575</v>
      </c>
      <c r="V60" s="114" t="s">
        <v>576</v>
      </c>
      <c r="W60" s="49" t="s">
        <v>39</v>
      </c>
      <c r="X60" s="49" t="s">
        <v>43</v>
      </c>
    </row>
    <row r="61" s="1" customFormat="1" ht="50" customHeight="1" spans="1:24">
      <c r="A61" s="34">
        <v>51</v>
      </c>
      <c r="B61" s="209"/>
      <c r="C61" s="158" t="str">
        <f>_xlfn.DISPIMG("ID_2FF67B11DFB0425692DB0B5545CE743A",1)</f>
        <v>=DISPIMG("ID_2FF67B11DFB0425692DB0B5545CE743A",1)</v>
      </c>
      <c r="D61" s="188" t="s">
        <v>577</v>
      </c>
      <c r="E61" s="204" t="s">
        <v>578</v>
      </c>
      <c r="F61" s="48" t="s">
        <v>579</v>
      </c>
      <c r="G61" s="48" t="s">
        <v>570</v>
      </c>
      <c r="H61" s="48" t="s">
        <v>580</v>
      </c>
      <c r="I61" s="216" t="s">
        <v>581</v>
      </c>
      <c r="J61" s="121" t="s">
        <v>582</v>
      </c>
      <c r="K61" s="121">
        <v>488.5</v>
      </c>
      <c r="L61" s="166">
        <v>93.2</v>
      </c>
      <c r="M61" s="166">
        <v>5.9</v>
      </c>
      <c r="N61" s="217">
        <v>50000</v>
      </c>
      <c r="O61" s="217">
        <v>62000</v>
      </c>
      <c r="P61" s="217">
        <v>76000</v>
      </c>
      <c r="Q61" s="217">
        <v>86000</v>
      </c>
      <c r="R61" s="217" t="s">
        <v>88</v>
      </c>
      <c r="S61" s="217" t="s">
        <v>39</v>
      </c>
      <c r="T61" s="217" t="s">
        <v>583</v>
      </c>
      <c r="U61" s="217" t="s">
        <v>584</v>
      </c>
      <c r="V61" s="121" t="s">
        <v>585</v>
      </c>
      <c r="W61" s="48" t="s">
        <v>586</v>
      </c>
      <c r="X61" s="48" t="s">
        <v>43</v>
      </c>
    </row>
    <row r="62" s="1" customFormat="1" ht="50" customHeight="1" spans="1:24">
      <c r="A62" s="39">
        <v>52</v>
      </c>
      <c r="B62" s="195"/>
      <c r="C62" s="185" t="str">
        <f>_xlfn.DISPIMG("ID_C5E246FCA791438196769AD06E435DBF",1)</f>
        <v>=DISPIMG("ID_C5E246FCA791438196769AD06E435DBF",1)</v>
      </c>
      <c r="D62" s="39" t="s">
        <v>587</v>
      </c>
      <c r="E62" s="186" t="s">
        <v>588</v>
      </c>
      <c r="F62" s="49" t="s">
        <v>589</v>
      </c>
      <c r="G62" s="49" t="s">
        <v>448</v>
      </c>
      <c r="H62" s="49" t="s">
        <v>590</v>
      </c>
      <c r="I62" s="214" t="s">
        <v>591</v>
      </c>
      <c r="J62" s="114" t="s">
        <v>592</v>
      </c>
      <c r="K62" s="114">
        <v>314.1</v>
      </c>
      <c r="L62" s="215">
        <v>24</v>
      </c>
      <c r="M62" s="215">
        <v>0.3</v>
      </c>
      <c r="N62" s="164">
        <v>26000</v>
      </c>
      <c r="O62" s="164">
        <v>38000</v>
      </c>
      <c r="P62" s="164">
        <v>45000</v>
      </c>
      <c r="Q62" s="164">
        <v>55000</v>
      </c>
      <c r="R62" s="164" t="s">
        <v>88</v>
      </c>
      <c r="S62" s="164" t="s">
        <v>39</v>
      </c>
      <c r="T62" s="164" t="s">
        <v>593</v>
      </c>
      <c r="U62" s="164" t="s">
        <v>594</v>
      </c>
      <c r="V62" s="114" t="s">
        <v>595</v>
      </c>
      <c r="W62" s="49" t="s">
        <v>39</v>
      </c>
      <c r="X62" s="49" t="s">
        <v>43</v>
      </c>
    </row>
    <row r="63" s="1" customFormat="1" ht="50" customHeight="1" spans="1:24">
      <c r="A63" s="34">
        <v>53</v>
      </c>
      <c r="B63" s="209"/>
      <c r="C63" s="158" t="str">
        <f>_xlfn.DISPIMG("ID_F02F4A17A7024B73921EEC930E05E90D",1)</f>
        <v>=DISPIMG("ID_F02F4A17A7024B73921EEC930E05E90D",1)</v>
      </c>
      <c r="D63" s="188" t="s">
        <v>596</v>
      </c>
      <c r="E63" s="204" t="s">
        <v>597</v>
      </c>
      <c r="F63" s="48" t="s">
        <v>598</v>
      </c>
      <c r="G63" s="48" t="s">
        <v>599</v>
      </c>
      <c r="H63" s="48" t="s">
        <v>600</v>
      </c>
      <c r="I63" s="216" t="s">
        <v>601</v>
      </c>
      <c r="J63" s="121" t="s">
        <v>602</v>
      </c>
      <c r="K63" s="121">
        <v>215.8</v>
      </c>
      <c r="L63" s="166">
        <v>285.9</v>
      </c>
      <c r="M63" s="166">
        <v>4.1</v>
      </c>
      <c r="N63" s="217">
        <v>42000</v>
      </c>
      <c r="O63" s="217">
        <v>50000</v>
      </c>
      <c r="P63" s="217">
        <v>55000</v>
      </c>
      <c r="Q63" s="217">
        <v>65000</v>
      </c>
      <c r="R63" s="217" t="s">
        <v>88</v>
      </c>
      <c r="S63" s="217" t="s">
        <v>39</v>
      </c>
      <c r="T63" s="217" t="s">
        <v>603</v>
      </c>
      <c r="U63" s="217" t="s">
        <v>604</v>
      </c>
      <c r="V63" s="121" t="s">
        <v>605</v>
      </c>
      <c r="W63" s="48" t="s">
        <v>606</v>
      </c>
      <c r="X63" s="48" t="s">
        <v>43</v>
      </c>
    </row>
    <row r="64" s="1" customFormat="1" ht="50" customHeight="1" spans="1:24">
      <c r="A64" s="39">
        <v>54</v>
      </c>
      <c r="B64" s="195"/>
      <c r="C64" s="185" t="str">
        <f>_xlfn.DISPIMG("ID_A412230D60AB468488551983E18F68BC",1)</f>
        <v>=DISPIMG("ID_A412230D60AB468488551983E18F68BC",1)</v>
      </c>
      <c r="D64" s="39" t="s">
        <v>607</v>
      </c>
      <c r="E64" s="186" t="s">
        <v>608</v>
      </c>
      <c r="F64" s="49">
        <v>97700283392</v>
      </c>
      <c r="G64" s="49" t="s">
        <v>609</v>
      </c>
      <c r="H64" s="49" t="s">
        <v>610</v>
      </c>
      <c r="I64" s="214" t="s">
        <v>611</v>
      </c>
      <c r="J64" s="114" t="s">
        <v>612</v>
      </c>
      <c r="K64" s="114">
        <v>13.2</v>
      </c>
      <c r="L64" s="215">
        <v>289.3</v>
      </c>
      <c r="M64" s="215">
        <v>3</v>
      </c>
      <c r="N64" s="164">
        <v>8000</v>
      </c>
      <c r="O64" s="164">
        <v>12000</v>
      </c>
      <c r="P64" s="164">
        <v>15000</v>
      </c>
      <c r="Q64" s="164">
        <v>25000</v>
      </c>
      <c r="R64" s="164" t="s">
        <v>39</v>
      </c>
      <c r="S64" s="164" t="s">
        <v>39</v>
      </c>
      <c r="T64" s="164" t="s">
        <v>613</v>
      </c>
      <c r="U64" s="164" t="s">
        <v>614</v>
      </c>
      <c r="V64" s="114" t="s">
        <v>615</v>
      </c>
      <c r="W64" s="49" t="s">
        <v>39</v>
      </c>
      <c r="X64" s="49" t="s">
        <v>43</v>
      </c>
    </row>
    <row r="65" s="1" customFormat="1" ht="50" customHeight="1" spans="1:24">
      <c r="A65" s="34">
        <v>55</v>
      </c>
      <c r="B65" s="209"/>
      <c r="C65" s="158" t="str">
        <f>_xlfn.DISPIMG("ID_E612ACA65138477AA6E959FC6871AA0D",1)</f>
        <v>=DISPIMG("ID_E612ACA65138477AA6E959FC6871AA0D",1)</v>
      </c>
      <c r="D65" s="188" t="s">
        <v>616</v>
      </c>
      <c r="E65" s="204" t="s">
        <v>617</v>
      </c>
      <c r="F65" s="48" t="s">
        <v>618</v>
      </c>
      <c r="G65" s="48" t="s">
        <v>599</v>
      </c>
      <c r="H65" s="48" t="s">
        <v>619</v>
      </c>
      <c r="I65" s="216" t="s">
        <v>620</v>
      </c>
      <c r="J65" s="121" t="s">
        <v>621</v>
      </c>
      <c r="K65" s="121">
        <v>45.5</v>
      </c>
      <c r="L65" s="166">
        <v>12.3</v>
      </c>
      <c r="M65" s="166">
        <v>0.7</v>
      </c>
      <c r="N65" s="217">
        <v>6000</v>
      </c>
      <c r="O65" s="217">
        <v>8000</v>
      </c>
      <c r="P65" s="217">
        <v>12000</v>
      </c>
      <c r="Q65" s="217">
        <v>22000</v>
      </c>
      <c r="R65" s="217" t="s">
        <v>88</v>
      </c>
      <c r="S65" s="217" t="s">
        <v>39</v>
      </c>
      <c r="T65" s="217" t="s">
        <v>622</v>
      </c>
      <c r="U65" s="217" t="s">
        <v>623</v>
      </c>
      <c r="V65" s="121" t="s">
        <v>624</v>
      </c>
      <c r="W65" s="48" t="s">
        <v>625</v>
      </c>
      <c r="X65" s="48" t="s">
        <v>43</v>
      </c>
    </row>
    <row r="66" s="172" customFormat="1" ht="25" customHeight="1" spans="1:24">
      <c r="A66" s="126"/>
      <c r="B66" s="126"/>
      <c r="C66" s="126"/>
      <c r="D66" s="126"/>
      <c r="E66" s="126"/>
      <c r="F66" s="126"/>
      <c r="G66" s="126"/>
      <c r="H66" s="126"/>
      <c r="I66" s="126"/>
      <c r="J66" s="242" t="s">
        <v>626</v>
      </c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</row>
    <row r="67" s="1" customFormat="1" ht="50" customHeight="1" spans="1:24">
      <c r="A67" s="39">
        <v>56</v>
      </c>
      <c r="B67" s="205"/>
      <c r="C67" s="185" t="str">
        <f>_xlfn.DISPIMG("ID_04B9406E73AD45868CFDE025F1A67C64",1)</f>
        <v>=DISPIMG("ID_04B9406E73AD45868CFDE025F1A67C64",1)</v>
      </c>
      <c r="D67" s="39" t="s">
        <v>627</v>
      </c>
      <c r="E67" s="186" t="s">
        <v>628</v>
      </c>
      <c r="F67" s="49">
        <v>20396292</v>
      </c>
      <c r="G67" s="39" t="s">
        <v>629</v>
      </c>
      <c r="H67" s="49" t="s">
        <v>630</v>
      </c>
      <c r="I67" s="214" t="s">
        <v>631</v>
      </c>
      <c r="J67" s="114" t="s">
        <v>632</v>
      </c>
      <c r="K67" s="114">
        <v>139.8</v>
      </c>
      <c r="L67" s="215">
        <v>56.8</v>
      </c>
      <c r="M67" s="215">
        <v>1.1</v>
      </c>
      <c r="N67" s="164">
        <v>80000</v>
      </c>
      <c r="O67" s="164">
        <v>100000</v>
      </c>
      <c r="P67" s="164">
        <v>120000</v>
      </c>
      <c r="Q67" s="164">
        <v>130000</v>
      </c>
      <c r="R67" s="164" t="s">
        <v>88</v>
      </c>
      <c r="S67" s="164" t="s">
        <v>39</v>
      </c>
      <c r="T67" s="164" t="s">
        <v>633</v>
      </c>
      <c r="U67" s="164" t="s">
        <v>634</v>
      </c>
      <c r="V67" s="114" t="s">
        <v>635</v>
      </c>
      <c r="W67" s="49" t="s">
        <v>636</v>
      </c>
      <c r="X67" s="49" t="s">
        <v>203</v>
      </c>
    </row>
    <row r="68" s="1" customFormat="1" ht="50" customHeight="1" spans="1:24">
      <c r="A68" s="34">
        <v>57</v>
      </c>
      <c r="B68" s="207"/>
      <c r="C68" s="190" t="str">
        <f>_xlfn.DISPIMG("ID_918CC43491354479B68FB81A3D0E4BA3",1)</f>
        <v>=DISPIMG("ID_918CC43491354479B68FB81A3D0E4BA3",1)</v>
      </c>
      <c r="D68" s="34" t="s">
        <v>637</v>
      </c>
      <c r="E68" s="204" t="s">
        <v>638</v>
      </c>
      <c r="F68" s="48" t="s">
        <v>639</v>
      </c>
      <c r="G68" s="48" t="s">
        <v>640</v>
      </c>
      <c r="H68" s="48" t="s">
        <v>641</v>
      </c>
      <c r="I68" s="216" t="s">
        <v>642</v>
      </c>
      <c r="J68" s="121" t="s">
        <v>643</v>
      </c>
      <c r="K68" s="121">
        <v>150.7</v>
      </c>
      <c r="L68" s="166">
        <v>975.2</v>
      </c>
      <c r="M68" s="166">
        <v>13.3</v>
      </c>
      <c r="N68" s="217">
        <v>35000</v>
      </c>
      <c r="O68" s="217">
        <v>45000</v>
      </c>
      <c r="P68" s="217">
        <v>50000</v>
      </c>
      <c r="Q68" s="217">
        <v>60000</v>
      </c>
      <c r="R68" s="217" t="s">
        <v>88</v>
      </c>
      <c r="S68" s="217" t="s">
        <v>39</v>
      </c>
      <c r="T68" s="217" t="s">
        <v>644</v>
      </c>
      <c r="U68" s="217" t="s">
        <v>645</v>
      </c>
      <c r="V68" s="121" t="s">
        <v>646</v>
      </c>
      <c r="W68" s="48" t="s">
        <v>647</v>
      </c>
      <c r="X68" s="48" t="s">
        <v>43</v>
      </c>
    </row>
    <row r="69" s="1" customFormat="1" ht="50" customHeight="1" spans="1:24">
      <c r="A69" s="39">
        <v>58</v>
      </c>
      <c r="B69" s="205"/>
      <c r="C69" s="185" t="str">
        <f>_xlfn.DISPIMG("ID_96F902CF6DC9447CA83C0F706D1423F1",1)</f>
        <v>=DISPIMG("ID_96F902CF6DC9447CA83C0F706D1423F1",1)</v>
      </c>
      <c r="D69" s="39" t="s">
        <v>648</v>
      </c>
      <c r="E69" s="186" t="s">
        <v>649</v>
      </c>
      <c r="F69" s="49">
        <v>54263633927</v>
      </c>
      <c r="G69" s="39" t="s">
        <v>650</v>
      </c>
      <c r="H69" s="49" t="s">
        <v>651</v>
      </c>
      <c r="I69" s="214" t="s">
        <v>652</v>
      </c>
      <c r="J69" s="114" t="s">
        <v>653</v>
      </c>
      <c r="K69" s="114">
        <v>112.6</v>
      </c>
      <c r="L69" s="215">
        <v>92.4</v>
      </c>
      <c r="M69" s="164">
        <v>2.4</v>
      </c>
      <c r="N69" s="164">
        <v>45000</v>
      </c>
      <c r="O69" s="164">
        <v>55000</v>
      </c>
      <c r="P69" s="164">
        <v>65000</v>
      </c>
      <c r="Q69" s="164">
        <v>75000</v>
      </c>
      <c r="R69" s="164" t="s">
        <v>88</v>
      </c>
      <c r="S69" s="164" t="s">
        <v>654</v>
      </c>
      <c r="T69" s="164" t="s">
        <v>655</v>
      </c>
      <c r="U69" s="164" t="s">
        <v>656</v>
      </c>
      <c r="V69" s="114" t="s">
        <v>657</v>
      </c>
      <c r="W69" s="49" t="s">
        <v>658</v>
      </c>
      <c r="X69" s="49" t="s">
        <v>203</v>
      </c>
    </row>
    <row r="70" s="171" customFormat="1" ht="25" customHeight="1" spans="1:24">
      <c r="A70" s="129"/>
      <c r="B70" s="129"/>
      <c r="C70" s="129"/>
      <c r="D70" s="129"/>
      <c r="E70" s="129"/>
      <c r="F70" s="129"/>
      <c r="G70" s="129"/>
      <c r="H70" s="129"/>
      <c r="I70" s="129"/>
      <c r="J70" s="225" t="s">
        <v>659</v>
      </c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</row>
    <row r="71" s="1" customFormat="1" ht="50" customHeight="1" spans="1:24">
      <c r="A71" s="188">
        <v>59</v>
      </c>
      <c r="B71" s="209"/>
      <c r="C71" s="232" t="str">
        <f>_xlfn.DISPIMG("ID_2A909E8A25084C82BBCCB7755957DE7A",1)</f>
        <v>=DISPIMG("ID_2A909E8A25084C82BBCCB7755957DE7A",1)</v>
      </c>
      <c r="D71" s="188" t="s">
        <v>660</v>
      </c>
      <c r="E71" s="197" t="s">
        <v>661</v>
      </c>
      <c r="F71" s="198" t="s">
        <v>662</v>
      </c>
      <c r="G71" s="198" t="s">
        <v>663</v>
      </c>
      <c r="H71" s="198" t="s">
        <v>664</v>
      </c>
      <c r="I71" s="223" t="s">
        <v>665</v>
      </c>
      <c r="J71" s="117" t="s">
        <v>666</v>
      </c>
      <c r="K71" s="117">
        <v>1151.8</v>
      </c>
      <c r="L71" s="224">
        <v>65.4</v>
      </c>
      <c r="M71" s="224">
        <v>1.5</v>
      </c>
      <c r="N71" s="220">
        <v>140000</v>
      </c>
      <c r="O71" s="220">
        <v>160000</v>
      </c>
      <c r="P71" s="220">
        <v>180000</v>
      </c>
      <c r="Q71" s="220">
        <v>190000</v>
      </c>
      <c r="R71" s="220" t="s">
        <v>88</v>
      </c>
      <c r="S71" s="220" t="s">
        <v>39</v>
      </c>
      <c r="T71" s="220" t="s">
        <v>667</v>
      </c>
      <c r="U71" s="220" t="s">
        <v>668</v>
      </c>
      <c r="V71" s="117" t="s">
        <v>669</v>
      </c>
      <c r="W71" s="198" t="s">
        <v>670</v>
      </c>
      <c r="X71" s="198" t="s">
        <v>671</v>
      </c>
    </row>
    <row r="72" s="1" customFormat="1" ht="50" customHeight="1" spans="1:24">
      <c r="A72" s="39">
        <v>60</v>
      </c>
      <c r="B72" s="233" t="s">
        <v>672</v>
      </c>
      <c r="C72" s="185" t="str">
        <f>_xlfn.DISPIMG("ID_E4D182802A47458298E6F0461565D148",1)</f>
        <v>=DISPIMG("ID_E4D182802A47458298E6F0461565D148",1)</v>
      </c>
      <c r="D72" s="39" t="s">
        <v>673</v>
      </c>
      <c r="E72" s="196" t="s">
        <v>674</v>
      </c>
      <c r="F72" s="49" t="s">
        <v>675</v>
      </c>
      <c r="G72" s="49" t="s">
        <v>676</v>
      </c>
      <c r="H72" s="49" t="s">
        <v>677</v>
      </c>
      <c r="I72" s="214" t="s">
        <v>678</v>
      </c>
      <c r="J72" s="292" t="s">
        <v>679</v>
      </c>
      <c r="K72" s="114">
        <v>955</v>
      </c>
      <c r="L72" s="215">
        <v>96.3</v>
      </c>
      <c r="M72" s="215">
        <v>3.1</v>
      </c>
      <c r="N72" s="164">
        <v>65000</v>
      </c>
      <c r="O72" s="164">
        <v>75000</v>
      </c>
      <c r="P72" s="164">
        <v>90000</v>
      </c>
      <c r="Q72" s="164" t="s">
        <v>39</v>
      </c>
      <c r="R72" s="164" t="s">
        <v>39</v>
      </c>
      <c r="S72" s="164" t="s">
        <v>39</v>
      </c>
      <c r="T72" s="164" t="s">
        <v>680</v>
      </c>
      <c r="U72" s="164" t="s">
        <v>681</v>
      </c>
      <c r="V72" s="114" t="s">
        <v>682</v>
      </c>
      <c r="W72" s="49" t="s">
        <v>39</v>
      </c>
      <c r="X72" s="49" t="s">
        <v>43</v>
      </c>
    </row>
    <row r="73" s="1" customFormat="1" ht="50" customHeight="1" spans="1:24">
      <c r="A73" s="34">
        <v>61</v>
      </c>
      <c r="B73" s="125"/>
      <c r="C73" s="190" t="str">
        <f>_xlfn.DISPIMG("ID_EFC9750CF8E540E9B6079702B9F810EA",1)</f>
        <v>=DISPIMG("ID_EFC9750CF8E540E9B6079702B9F810EA",1)</v>
      </c>
      <c r="D73" s="34" t="s">
        <v>683</v>
      </c>
      <c r="E73" s="191" t="s">
        <v>684</v>
      </c>
      <c r="F73" s="48" t="s">
        <v>685</v>
      </c>
      <c r="G73" s="48" t="s">
        <v>686</v>
      </c>
      <c r="H73" s="48" t="s">
        <v>687</v>
      </c>
      <c r="I73" s="216" t="s">
        <v>688</v>
      </c>
      <c r="J73" s="121" t="s">
        <v>689</v>
      </c>
      <c r="K73" s="121">
        <v>255.9</v>
      </c>
      <c r="L73" s="166">
        <v>32.7</v>
      </c>
      <c r="M73" s="224">
        <v>0.7</v>
      </c>
      <c r="N73" s="220">
        <v>98000</v>
      </c>
      <c r="O73" s="220">
        <v>98000</v>
      </c>
      <c r="P73" s="220">
        <v>138000</v>
      </c>
      <c r="Q73" s="220">
        <v>148000</v>
      </c>
      <c r="R73" s="220" t="s">
        <v>88</v>
      </c>
      <c r="S73" s="220" t="s">
        <v>39</v>
      </c>
      <c r="T73" s="217" t="s">
        <v>690</v>
      </c>
      <c r="U73" s="217" t="s">
        <v>691</v>
      </c>
      <c r="V73" s="217" t="s">
        <v>692</v>
      </c>
      <c r="W73" s="48" t="s">
        <v>693</v>
      </c>
      <c r="X73" s="48" t="s">
        <v>43</v>
      </c>
    </row>
    <row r="74" s="1" customFormat="1" ht="50" customHeight="1" spans="1:24">
      <c r="A74" s="39">
        <v>62</v>
      </c>
      <c r="B74" s="205"/>
      <c r="C74" s="185" t="str">
        <f>_xlfn.DISPIMG("ID_DC126CE61D9344459D5C67F122FC46EE",1)</f>
        <v>=DISPIMG("ID_DC126CE61D9344459D5C67F122FC46EE",1)</v>
      </c>
      <c r="D74" s="39" t="s">
        <v>694</v>
      </c>
      <c r="E74" s="196" t="s">
        <v>695</v>
      </c>
      <c r="F74" s="49" t="s">
        <v>696</v>
      </c>
      <c r="G74" s="49" t="s">
        <v>697</v>
      </c>
      <c r="H74" s="49" t="s">
        <v>698</v>
      </c>
      <c r="I74" s="214" t="s">
        <v>699</v>
      </c>
      <c r="J74" s="114" t="s">
        <v>700</v>
      </c>
      <c r="K74" s="114">
        <v>64.2</v>
      </c>
      <c r="L74" s="215">
        <v>69.7</v>
      </c>
      <c r="M74" s="215">
        <v>0.5</v>
      </c>
      <c r="N74" s="164">
        <v>26000</v>
      </c>
      <c r="O74" s="164">
        <v>35000</v>
      </c>
      <c r="P74" s="164">
        <v>42000</v>
      </c>
      <c r="Q74" s="164">
        <v>52000</v>
      </c>
      <c r="R74" s="164" t="s">
        <v>121</v>
      </c>
      <c r="S74" s="164" t="s">
        <v>39</v>
      </c>
      <c r="T74" s="164" t="s">
        <v>701</v>
      </c>
      <c r="U74" s="164" t="s">
        <v>702</v>
      </c>
      <c r="V74" s="114" t="s">
        <v>703</v>
      </c>
      <c r="W74" s="49" t="s">
        <v>704</v>
      </c>
      <c r="X74" s="49" t="s">
        <v>43</v>
      </c>
    </row>
    <row r="75" s="1" customFormat="1" ht="50" customHeight="1" spans="1:24">
      <c r="A75" s="34">
        <v>63</v>
      </c>
      <c r="B75" s="125" t="s">
        <v>672</v>
      </c>
      <c r="C75" s="190" t="str">
        <f>_xlfn.DISPIMG("ID_D3746F5F0C434E6C947859C6AE53CE2A",1)</f>
        <v>=DISPIMG("ID_D3746F5F0C434E6C947859C6AE53CE2A",1)</v>
      </c>
      <c r="D75" s="34" t="s">
        <v>705</v>
      </c>
      <c r="E75" s="191" t="s">
        <v>706</v>
      </c>
      <c r="F75" s="48" t="s">
        <v>707</v>
      </c>
      <c r="G75" s="48" t="s">
        <v>697</v>
      </c>
      <c r="H75" s="48" t="s">
        <v>708</v>
      </c>
      <c r="I75" s="216" t="s">
        <v>709</v>
      </c>
      <c r="J75" s="121" t="s">
        <v>710</v>
      </c>
      <c r="K75" s="121">
        <v>72</v>
      </c>
      <c r="L75" s="166">
        <v>206.7</v>
      </c>
      <c r="M75" s="166">
        <v>2.9</v>
      </c>
      <c r="N75" s="220">
        <v>13000</v>
      </c>
      <c r="O75" s="220">
        <v>30000</v>
      </c>
      <c r="P75" s="220">
        <v>45000</v>
      </c>
      <c r="Q75" s="220">
        <v>55000</v>
      </c>
      <c r="R75" s="217" t="s">
        <v>88</v>
      </c>
      <c r="S75" s="217" t="s">
        <v>39</v>
      </c>
      <c r="T75" s="217" t="s">
        <v>711</v>
      </c>
      <c r="U75" s="217" t="s">
        <v>712</v>
      </c>
      <c r="V75" s="217" t="s">
        <v>713</v>
      </c>
      <c r="W75" s="48" t="s">
        <v>714</v>
      </c>
      <c r="X75" s="48" t="s">
        <v>715</v>
      </c>
    </row>
    <row r="76" s="1" customFormat="1" ht="50" customHeight="1" spans="1:24">
      <c r="A76" s="39">
        <v>64</v>
      </c>
      <c r="B76" s="205"/>
      <c r="C76" s="185" t="str">
        <f>_xlfn.DISPIMG("ID_087DE66911BC4A23A30A66A1676ADC1E",1)</f>
        <v>=DISPIMG("ID_087DE66911BC4A23A30A66A1676ADC1E",1)</v>
      </c>
      <c r="D76" s="39" t="s">
        <v>716</v>
      </c>
      <c r="E76" s="196" t="s">
        <v>717</v>
      </c>
      <c r="F76" s="49" t="s">
        <v>718</v>
      </c>
      <c r="G76" s="49" t="s">
        <v>719</v>
      </c>
      <c r="H76" s="49" t="s">
        <v>720</v>
      </c>
      <c r="I76" s="214" t="s">
        <v>721</v>
      </c>
      <c r="J76" s="114" t="s">
        <v>722</v>
      </c>
      <c r="K76" s="114">
        <v>44.3</v>
      </c>
      <c r="L76" s="215">
        <v>303.2</v>
      </c>
      <c r="M76" s="215">
        <v>7.1</v>
      </c>
      <c r="N76" s="164">
        <v>10000</v>
      </c>
      <c r="O76" s="164">
        <v>12000</v>
      </c>
      <c r="P76" s="164">
        <v>15000</v>
      </c>
      <c r="Q76" s="164">
        <v>25000</v>
      </c>
      <c r="R76" s="164" t="s">
        <v>88</v>
      </c>
      <c r="S76" s="164" t="s">
        <v>39</v>
      </c>
      <c r="T76" s="164" t="s">
        <v>723</v>
      </c>
      <c r="U76" s="164" t="s">
        <v>724</v>
      </c>
      <c r="V76" s="114" t="s">
        <v>725</v>
      </c>
      <c r="W76" s="49" t="s">
        <v>726</v>
      </c>
      <c r="X76" s="49" t="s">
        <v>43</v>
      </c>
    </row>
    <row r="77" s="1" customFormat="1" ht="50" customHeight="1" spans="1:24">
      <c r="A77" s="34">
        <v>65</v>
      </c>
      <c r="B77" s="202"/>
      <c r="C77" s="190" t="str">
        <f>_xlfn.DISPIMG("ID_228468B14D42421DA055159B9FA047AF",1)</f>
        <v>=DISPIMG("ID_228468B14D42421DA055159B9FA047AF",1)</v>
      </c>
      <c r="D77" s="34" t="s">
        <v>727</v>
      </c>
      <c r="E77" s="191" t="s">
        <v>728</v>
      </c>
      <c r="F77" s="48">
        <v>15610596</v>
      </c>
      <c r="G77" s="48" t="s">
        <v>729</v>
      </c>
      <c r="H77" s="48" t="s">
        <v>730</v>
      </c>
      <c r="I77" s="216" t="s">
        <v>731</v>
      </c>
      <c r="J77" s="121" t="s">
        <v>732</v>
      </c>
      <c r="K77" s="121">
        <v>39.3</v>
      </c>
      <c r="L77" s="166">
        <v>193.9</v>
      </c>
      <c r="M77" s="166">
        <v>7.1</v>
      </c>
      <c r="N77" s="217">
        <v>5800</v>
      </c>
      <c r="O77" s="217">
        <v>9800</v>
      </c>
      <c r="P77" s="217">
        <v>10800</v>
      </c>
      <c r="Q77" s="217">
        <v>20800</v>
      </c>
      <c r="R77" s="217" t="s">
        <v>88</v>
      </c>
      <c r="S77" s="217" t="s">
        <v>39</v>
      </c>
      <c r="T77" s="217" t="s">
        <v>733</v>
      </c>
      <c r="U77" s="217" t="s">
        <v>734</v>
      </c>
      <c r="V77" s="217" t="s">
        <v>735</v>
      </c>
      <c r="W77" s="48" t="s">
        <v>736</v>
      </c>
      <c r="X77" s="48" t="s">
        <v>43</v>
      </c>
    </row>
    <row r="78" s="1" customFormat="1" ht="50" customHeight="1" spans="1:24">
      <c r="A78" s="39">
        <v>66</v>
      </c>
      <c r="B78" s="205"/>
      <c r="C78" s="185" t="str">
        <f>_xlfn.DISPIMG("ID_854255A79A754EAEB34FAE071AA75CD8",1)</f>
        <v>=DISPIMG("ID_854255A79A754EAEB34FAE071AA75CD8",1)</v>
      </c>
      <c r="D78" s="39" t="s">
        <v>737</v>
      </c>
      <c r="E78" s="196" t="s">
        <v>738</v>
      </c>
      <c r="F78" s="49" t="s">
        <v>739</v>
      </c>
      <c r="G78" s="49" t="s">
        <v>740</v>
      </c>
      <c r="H78" s="49" t="s">
        <v>741</v>
      </c>
      <c r="I78" s="214" t="s">
        <v>742</v>
      </c>
      <c r="J78" s="114" t="s">
        <v>743</v>
      </c>
      <c r="K78" s="114">
        <v>20.1</v>
      </c>
      <c r="L78" s="215" t="s">
        <v>39</v>
      </c>
      <c r="M78" s="215" t="s">
        <v>39</v>
      </c>
      <c r="N78" s="164">
        <v>8000</v>
      </c>
      <c r="O78" s="164">
        <v>12000</v>
      </c>
      <c r="P78" s="164">
        <v>16000</v>
      </c>
      <c r="Q78" s="164">
        <v>26000</v>
      </c>
      <c r="R78" s="164" t="s">
        <v>88</v>
      </c>
      <c r="S78" s="164" t="s">
        <v>39</v>
      </c>
      <c r="T78" s="164" t="s">
        <v>744</v>
      </c>
      <c r="U78" s="164" t="s">
        <v>745</v>
      </c>
      <c r="V78" s="114" t="s">
        <v>746</v>
      </c>
      <c r="W78" s="49" t="s">
        <v>747</v>
      </c>
      <c r="X78" s="49" t="s">
        <v>748</v>
      </c>
    </row>
    <row r="79" s="1" customFormat="1" ht="50" customHeight="1" spans="1:24">
      <c r="A79" s="34">
        <v>67</v>
      </c>
      <c r="B79" s="202"/>
      <c r="C79" s="190" t="str">
        <f>_xlfn.DISPIMG("ID_AD67692D60824374B3128ACC0AAAE321",1)</f>
        <v>=DISPIMG("ID_AD67692D60824374B3128ACC0AAAE321",1)</v>
      </c>
      <c r="D79" s="34" t="s">
        <v>749</v>
      </c>
      <c r="E79" s="191" t="s">
        <v>750</v>
      </c>
      <c r="F79" s="48">
        <v>61264522222</v>
      </c>
      <c r="G79" s="48" t="s">
        <v>751</v>
      </c>
      <c r="H79" s="48" t="s">
        <v>752</v>
      </c>
      <c r="I79" s="216" t="s">
        <v>753</v>
      </c>
      <c r="J79" s="121" t="s">
        <v>754</v>
      </c>
      <c r="K79" s="121">
        <v>36.8</v>
      </c>
      <c r="L79" s="166">
        <v>39.1</v>
      </c>
      <c r="M79" s="166">
        <v>0.6</v>
      </c>
      <c r="N79" s="217" t="s">
        <v>39</v>
      </c>
      <c r="O79" s="217">
        <v>18000</v>
      </c>
      <c r="P79" s="217">
        <v>19000</v>
      </c>
      <c r="Q79" s="217">
        <v>29000</v>
      </c>
      <c r="R79" s="217" t="s">
        <v>88</v>
      </c>
      <c r="S79" s="217" t="s">
        <v>39</v>
      </c>
      <c r="T79" s="217" t="s">
        <v>755</v>
      </c>
      <c r="U79" s="217" t="s">
        <v>756</v>
      </c>
      <c r="V79" s="217" t="s">
        <v>757</v>
      </c>
      <c r="W79" s="48" t="s">
        <v>758</v>
      </c>
      <c r="X79" s="48" t="s">
        <v>43</v>
      </c>
    </row>
    <row r="80" s="172" customFormat="1" ht="25" customHeight="1" spans="1:24">
      <c r="A80" s="234"/>
      <c r="B80" s="234"/>
      <c r="C80" s="234"/>
      <c r="D80" s="234"/>
      <c r="E80" s="234"/>
      <c r="F80" s="234"/>
      <c r="G80" s="234"/>
      <c r="H80" s="234"/>
      <c r="I80" s="234"/>
      <c r="J80" s="243" t="s">
        <v>759</v>
      </c>
      <c r="K80" s="234"/>
      <c r="L80" s="234"/>
      <c r="M80" s="234"/>
      <c r="N80" s="234"/>
      <c r="O80" s="234"/>
      <c r="P80" s="234"/>
      <c r="Q80" s="234"/>
      <c r="R80" s="234"/>
      <c r="S80" s="234"/>
      <c r="T80" s="234"/>
      <c r="U80" s="234"/>
      <c r="V80" s="234"/>
      <c r="W80" s="234"/>
      <c r="X80" s="234"/>
    </row>
    <row r="81" s="1" customFormat="1" ht="50" customHeight="1" spans="1:24">
      <c r="A81" s="39">
        <v>68</v>
      </c>
      <c r="B81" s="205"/>
      <c r="C81" s="185" t="str">
        <f>_xlfn.DISPIMG("ID_3F1759559AB940A6A95E542A6EDD73B0",1)</f>
        <v>=DISPIMG("ID_3F1759559AB940A6A95E542A6EDD73B0",1)</v>
      </c>
      <c r="D81" s="39" t="s">
        <v>760</v>
      </c>
      <c r="E81" s="196" t="s">
        <v>761</v>
      </c>
      <c r="F81" s="49" t="s">
        <v>762</v>
      </c>
      <c r="G81" s="49" t="s">
        <v>599</v>
      </c>
      <c r="H81" s="49" t="s">
        <v>763</v>
      </c>
      <c r="I81" s="214" t="s">
        <v>764</v>
      </c>
      <c r="J81" s="114" t="s">
        <v>765</v>
      </c>
      <c r="K81" s="114">
        <v>505.2</v>
      </c>
      <c r="L81" s="215">
        <v>145.1</v>
      </c>
      <c r="M81" s="215">
        <v>4.4</v>
      </c>
      <c r="N81" s="164">
        <v>50000</v>
      </c>
      <c r="O81" s="164">
        <v>68000</v>
      </c>
      <c r="P81" s="164">
        <v>80000</v>
      </c>
      <c r="Q81" s="164">
        <v>90000</v>
      </c>
      <c r="R81" s="164" t="s">
        <v>88</v>
      </c>
      <c r="S81" s="164">
        <v>68000</v>
      </c>
      <c r="T81" s="164" t="s">
        <v>766</v>
      </c>
      <c r="U81" s="164" t="s">
        <v>767</v>
      </c>
      <c r="V81" s="164" t="s">
        <v>768</v>
      </c>
      <c r="W81" s="49" t="s">
        <v>769</v>
      </c>
      <c r="X81" s="49" t="s">
        <v>43</v>
      </c>
    </row>
    <row r="82" s="1" customFormat="1" ht="50" customHeight="1" spans="1:24">
      <c r="A82" s="34">
        <v>69</v>
      </c>
      <c r="B82" s="125" t="s">
        <v>135</v>
      </c>
      <c r="C82" s="190" t="str">
        <f>_xlfn.DISPIMG("ID_0DCD5B3AA2464438B079367360238EC8",1)</f>
        <v>=DISPIMG("ID_0DCD5B3AA2464438B079367360238EC8",1)</v>
      </c>
      <c r="D82" s="34" t="s">
        <v>770</v>
      </c>
      <c r="E82" s="204" t="s">
        <v>771</v>
      </c>
      <c r="F82" s="48">
        <v>179766600</v>
      </c>
      <c r="G82" s="235" t="s">
        <v>772</v>
      </c>
      <c r="H82" s="48" t="s">
        <v>773</v>
      </c>
      <c r="I82" s="216" t="s">
        <v>774</v>
      </c>
      <c r="J82" s="121" t="s">
        <v>775</v>
      </c>
      <c r="K82" s="121">
        <v>299.1</v>
      </c>
      <c r="L82" s="166">
        <v>56.8</v>
      </c>
      <c r="M82" s="166">
        <v>7.4</v>
      </c>
      <c r="N82" s="217">
        <v>34000</v>
      </c>
      <c r="O82" s="217">
        <v>42000</v>
      </c>
      <c r="P82" s="217">
        <v>50000</v>
      </c>
      <c r="Q82" s="217">
        <v>60000</v>
      </c>
      <c r="R82" s="217" t="s">
        <v>88</v>
      </c>
      <c r="S82" s="217">
        <v>38000</v>
      </c>
      <c r="T82" s="217" t="s">
        <v>776</v>
      </c>
      <c r="U82" s="217" t="s">
        <v>777</v>
      </c>
      <c r="V82" s="121" t="s">
        <v>778</v>
      </c>
      <c r="W82" s="48" t="s">
        <v>779</v>
      </c>
      <c r="X82" s="48" t="s">
        <v>780</v>
      </c>
    </row>
    <row r="83" s="1" customFormat="1" ht="50" customHeight="1" spans="1:24">
      <c r="A83" s="39">
        <v>70</v>
      </c>
      <c r="B83" s="195" t="s">
        <v>135</v>
      </c>
      <c r="C83" s="185" t="str">
        <f>_xlfn.DISPIMG("ID_44D397F4750E494295ED546A1F11416C",1)</f>
        <v>=DISPIMG("ID_44D397F4750E494295ED546A1F11416C",1)</v>
      </c>
      <c r="D83" s="39" t="s">
        <v>781</v>
      </c>
      <c r="E83" s="186" t="s">
        <v>782</v>
      </c>
      <c r="F83" s="49">
        <v>1255960886</v>
      </c>
      <c r="G83" s="49" t="s">
        <v>772</v>
      </c>
      <c r="H83" s="49" t="s">
        <v>783</v>
      </c>
      <c r="I83" s="214" t="s">
        <v>784</v>
      </c>
      <c r="J83" s="114" t="s">
        <v>785</v>
      </c>
      <c r="K83" s="114">
        <v>51.2</v>
      </c>
      <c r="L83" s="215">
        <v>25.8</v>
      </c>
      <c r="M83" s="215">
        <v>2</v>
      </c>
      <c r="N83" s="164">
        <v>22000</v>
      </c>
      <c r="O83" s="164">
        <v>28000</v>
      </c>
      <c r="P83" s="164">
        <v>33000</v>
      </c>
      <c r="Q83" s="164">
        <v>43000</v>
      </c>
      <c r="R83" s="164" t="s">
        <v>88</v>
      </c>
      <c r="S83" s="164" t="s">
        <v>39</v>
      </c>
      <c r="T83" s="164" t="s">
        <v>786</v>
      </c>
      <c r="U83" s="164" t="s">
        <v>787</v>
      </c>
      <c r="V83" s="114" t="s">
        <v>788</v>
      </c>
      <c r="W83" s="49" t="s">
        <v>789</v>
      </c>
      <c r="X83" s="49" t="s">
        <v>43</v>
      </c>
    </row>
    <row r="84" s="1" customFormat="1" ht="50" customHeight="1" spans="1:24">
      <c r="A84" s="34">
        <v>71</v>
      </c>
      <c r="B84" s="207"/>
      <c r="C84" s="190" t="str">
        <f>_xlfn.DISPIMG("ID_20EB524645A64250A82E41D66BAD8E4C",1)</f>
        <v>=DISPIMG("ID_20EB524645A64250A82E41D66BAD8E4C",1)</v>
      </c>
      <c r="D84" s="34" t="s">
        <v>790</v>
      </c>
      <c r="E84" s="191" t="s">
        <v>791</v>
      </c>
      <c r="F84" s="48" t="s">
        <v>792</v>
      </c>
      <c r="G84" s="48" t="s">
        <v>772</v>
      </c>
      <c r="H84" s="48" t="s">
        <v>793</v>
      </c>
      <c r="I84" s="216" t="s">
        <v>794</v>
      </c>
      <c r="J84" s="121" t="s">
        <v>795</v>
      </c>
      <c r="K84" s="121">
        <v>115.8</v>
      </c>
      <c r="L84" s="166">
        <v>469.1</v>
      </c>
      <c r="M84" s="166">
        <v>20.5</v>
      </c>
      <c r="N84" s="217">
        <v>17000</v>
      </c>
      <c r="O84" s="217">
        <v>30000</v>
      </c>
      <c r="P84" s="217">
        <v>40000</v>
      </c>
      <c r="Q84" s="217">
        <v>50000</v>
      </c>
      <c r="R84" s="217" t="s">
        <v>121</v>
      </c>
      <c r="S84" s="217" t="s">
        <v>39</v>
      </c>
      <c r="T84" s="217" t="s">
        <v>796</v>
      </c>
      <c r="U84" s="217" t="s">
        <v>797</v>
      </c>
      <c r="V84" s="121" t="s">
        <v>798</v>
      </c>
      <c r="W84" s="48" t="s">
        <v>799</v>
      </c>
      <c r="X84" s="48" t="s">
        <v>43</v>
      </c>
    </row>
    <row r="85" s="1" customFormat="1" ht="50" customHeight="1" spans="1:24">
      <c r="A85" s="39">
        <v>72</v>
      </c>
      <c r="B85" s="203"/>
      <c r="C85" s="185" t="str">
        <f>_xlfn.DISPIMG("ID_DD6BE69C018A4D75A9AFFE009D0191C5",1)</f>
        <v>=DISPIMG("ID_DD6BE69C018A4D75A9AFFE009D0191C5",1)</v>
      </c>
      <c r="D85" s="39" t="s">
        <v>800</v>
      </c>
      <c r="E85" s="186" t="s">
        <v>801</v>
      </c>
      <c r="F85" s="49" t="s">
        <v>802</v>
      </c>
      <c r="G85" s="49" t="s">
        <v>772</v>
      </c>
      <c r="H85" s="49" t="s">
        <v>803</v>
      </c>
      <c r="I85" s="214" t="s">
        <v>804</v>
      </c>
      <c r="J85" s="114" t="s">
        <v>805</v>
      </c>
      <c r="K85" s="114">
        <v>95.9</v>
      </c>
      <c r="L85" s="215">
        <v>85.3</v>
      </c>
      <c r="M85" s="215">
        <v>4.3</v>
      </c>
      <c r="N85" s="164">
        <v>15000</v>
      </c>
      <c r="O85" s="164">
        <v>20000</v>
      </c>
      <c r="P85" s="164">
        <v>25000</v>
      </c>
      <c r="Q85" s="164">
        <v>35000</v>
      </c>
      <c r="R85" s="164" t="s">
        <v>88</v>
      </c>
      <c r="S85" s="164" t="s">
        <v>39</v>
      </c>
      <c r="T85" s="164" t="s">
        <v>806</v>
      </c>
      <c r="U85" s="164" t="s">
        <v>807</v>
      </c>
      <c r="V85" s="114" t="s">
        <v>808</v>
      </c>
      <c r="W85" s="49" t="s">
        <v>809</v>
      </c>
      <c r="X85" s="49" t="s">
        <v>203</v>
      </c>
    </row>
    <row r="86" s="174" customFormat="1" ht="25" customHeight="1" spans="1:24">
      <c r="A86" s="236"/>
      <c r="B86" s="236"/>
      <c r="C86" s="236"/>
      <c r="D86" s="236"/>
      <c r="E86" s="236"/>
      <c r="F86" s="236"/>
      <c r="G86" s="236"/>
      <c r="H86" s="236"/>
      <c r="I86" s="236"/>
      <c r="J86" s="244" t="s">
        <v>810</v>
      </c>
      <c r="K86" s="236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</row>
    <row r="87" s="3" customFormat="1" ht="50" customHeight="1" spans="1:24">
      <c r="A87" s="34">
        <v>73</v>
      </c>
      <c r="B87" s="125"/>
      <c r="C87" s="190" t="str">
        <f>_xlfn.DISPIMG("ID_6DDB3F0B8C864F73A8C54F8BBC2991AA",1)</f>
        <v>=DISPIMG("ID_6DDB3F0B8C864F73A8C54F8BBC2991AA",1)</v>
      </c>
      <c r="D87" s="34" t="s">
        <v>811</v>
      </c>
      <c r="E87" s="191" t="s">
        <v>812</v>
      </c>
      <c r="F87" s="48">
        <v>117893265</v>
      </c>
      <c r="G87" s="48" t="s">
        <v>813</v>
      </c>
      <c r="H87" s="48" t="s">
        <v>814</v>
      </c>
      <c r="I87" s="216" t="s">
        <v>815</v>
      </c>
      <c r="J87" s="121" t="s">
        <v>816</v>
      </c>
      <c r="K87" s="121">
        <v>555.8</v>
      </c>
      <c r="L87" s="166">
        <v>29.7</v>
      </c>
      <c r="M87" s="166">
        <v>1</v>
      </c>
      <c r="N87" s="217">
        <v>75000</v>
      </c>
      <c r="O87" s="217">
        <v>85000</v>
      </c>
      <c r="P87" s="217">
        <v>95000</v>
      </c>
      <c r="Q87" s="217">
        <v>125000</v>
      </c>
      <c r="R87" s="217" t="s">
        <v>88</v>
      </c>
      <c r="S87" s="217">
        <v>85000</v>
      </c>
      <c r="T87" s="217" t="s">
        <v>817</v>
      </c>
      <c r="U87" s="217" t="s">
        <v>818</v>
      </c>
      <c r="V87" s="121" t="s">
        <v>819</v>
      </c>
      <c r="W87" s="48" t="s">
        <v>820</v>
      </c>
      <c r="X87" s="48" t="s">
        <v>43</v>
      </c>
    </row>
    <row r="88" s="3" customFormat="1" ht="50" customHeight="1" spans="1:24">
      <c r="A88" s="39">
        <v>74</v>
      </c>
      <c r="B88" s="195" t="s">
        <v>672</v>
      </c>
      <c r="C88" s="185" t="str">
        <f>_xlfn.DISPIMG("ID_B04708EBD51D47E89C0F5A8CA1C42320",1)</f>
        <v>=DISPIMG("ID_B04708EBD51D47E89C0F5A8CA1C42320",1)</v>
      </c>
      <c r="D88" s="39" t="s">
        <v>821</v>
      </c>
      <c r="E88" s="186" t="s">
        <v>822</v>
      </c>
      <c r="F88" s="49" t="s">
        <v>823</v>
      </c>
      <c r="G88" s="187" t="s">
        <v>824</v>
      </c>
      <c r="H88" s="49" t="s">
        <v>825</v>
      </c>
      <c r="I88" s="214" t="s">
        <v>826</v>
      </c>
      <c r="J88" s="114" t="s">
        <v>827</v>
      </c>
      <c r="K88" s="114">
        <v>77.1</v>
      </c>
      <c r="L88" s="215">
        <v>129.5</v>
      </c>
      <c r="M88" s="215">
        <v>5</v>
      </c>
      <c r="N88" s="164">
        <v>15000</v>
      </c>
      <c r="O88" s="164">
        <v>25000</v>
      </c>
      <c r="P88" s="164">
        <v>29000</v>
      </c>
      <c r="Q88" s="164">
        <v>39000</v>
      </c>
      <c r="R88" s="164" t="s">
        <v>88</v>
      </c>
      <c r="S88" s="163" t="s">
        <v>39</v>
      </c>
      <c r="T88" s="164" t="s">
        <v>828</v>
      </c>
      <c r="U88" s="164" t="s">
        <v>829</v>
      </c>
      <c r="V88" s="114" t="s">
        <v>830</v>
      </c>
      <c r="W88" s="49" t="s">
        <v>831</v>
      </c>
      <c r="X88" s="49" t="s">
        <v>832</v>
      </c>
    </row>
    <row r="89" s="3" customFormat="1" ht="50" customHeight="1" spans="1:24">
      <c r="A89" s="34">
        <v>75</v>
      </c>
      <c r="B89" s="125"/>
      <c r="C89" s="190" t="str">
        <f>_xlfn.DISPIMG("ID_297283D20B12454EBBC647E91C93E809",1)</f>
        <v>=DISPIMG("ID_297283D20B12454EBBC647E91C93E809",1)</v>
      </c>
      <c r="D89" s="34" t="s">
        <v>833</v>
      </c>
      <c r="E89" s="191" t="s">
        <v>834</v>
      </c>
      <c r="F89" s="48" t="s">
        <v>835</v>
      </c>
      <c r="G89" s="48" t="s">
        <v>836</v>
      </c>
      <c r="H89" s="48" t="s">
        <v>837</v>
      </c>
      <c r="I89" s="216" t="s">
        <v>838</v>
      </c>
      <c r="J89" s="121" t="s">
        <v>839</v>
      </c>
      <c r="K89" s="121">
        <v>320.4</v>
      </c>
      <c r="L89" s="166">
        <v>108.1</v>
      </c>
      <c r="M89" s="166">
        <v>2.9</v>
      </c>
      <c r="N89" s="217">
        <v>38000</v>
      </c>
      <c r="O89" s="217">
        <v>60000</v>
      </c>
      <c r="P89" s="217">
        <v>75000</v>
      </c>
      <c r="Q89" s="217">
        <v>85000</v>
      </c>
      <c r="R89" s="217" t="s">
        <v>88</v>
      </c>
      <c r="S89" s="217">
        <v>60000</v>
      </c>
      <c r="T89" s="217" t="s">
        <v>840</v>
      </c>
      <c r="U89" s="217" t="s">
        <v>841</v>
      </c>
      <c r="V89" s="121" t="s">
        <v>842</v>
      </c>
      <c r="W89" s="48" t="s">
        <v>843</v>
      </c>
      <c r="X89" s="48" t="s">
        <v>43</v>
      </c>
    </row>
    <row r="90" s="3" customFormat="1" ht="50" customHeight="1" spans="1:24">
      <c r="A90" s="39">
        <v>76</v>
      </c>
      <c r="B90" s="205"/>
      <c r="C90" s="185" t="str">
        <f>_xlfn.DISPIMG("ID_8F6E789AFED045BC8BD281E8D1E2E449",1)</f>
        <v>=DISPIMG("ID_8F6E789AFED045BC8BD281E8D1E2E449",1)</v>
      </c>
      <c r="D90" s="39" t="s">
        <v>844</v>
      </c>
      <c r="E90" s="186" t="s">
        <v>845</v>
      </c>
      <c r="F90" s="49" t="s">
        <v>846</v>
      </c>
      <c r="G90" s="187" t="s">
        <v>59</v>
      </c>
      <c r="H90" s="49" t="s">
        <v>847</v>
      </c>
      <c r="I90" s="214" t="s">
        <v>848</v>
      </c>
      <c r="J90" s="292" t="s">
        <v>849</v>
      </c>
      <c r="K90" s="114">
        <v>328</v>
      </c>
      <c r="L90" s="215">
        <v>24.1</v>
      </c>
      <c r="M90" s="215">
        <v>2.2</v>
      </c>
      <c r="N90" s="164">
        <v>45000</v>
      </c>
      <c r="O90" s="164">
        <v>55000</v>
      </c>
      <c r="P90" s="164">
        <v>65000</v>
      </c>
      <c r="Q90" s="164" t="s">
        <v>39</v>
      </c>
      <c r="R90" s="164" t="s">
        <v>121</v>
      </c>
      <c r="S90" s="163">
        <v>35000</v>
      </c>
      <c r="T90" s="164" t="s">
        <v>850</v>
      </c>
      <c r="U90" s="164" t="s">
        <v>851</v>
      </c>
      <c r="V90" s="114" t="s">
        <v>852</v>
      </c>
      <c r="W90" s="49" t="s">
        <v>853</v>
      </c>
      <c r="X90" s="49" t="s">
        <v>354</v>
      </c>
    </row>
    <row r="91" s="3" customFormat="1" ht="50" customHeight="1" spans="1:24">
      <c r="A91" s="34">
        <v>77</v>
      </c>
      <c r="B91" s="125" t="s">
        <v>672</v>
      </c>
      <c r="C91" s="190" t="str">
        <f>_xlfn.DISPIMG("ID_4667BC96DDF2491FBB744EB49DCB619C",1)</f>
        <v>=DISPIMG("ID_4667BC96DDF2491FBB744EB49DCB619C",1)</v>
      </c>
      <c r="D91" s="34" t="s">
        <v>854</v>
      </c>
      <c r="E91" s="191" t="s">
        <v>855</v>
      </c>
      <c r="F91" s="48" t="s">
        <v>856</v>
      </c>
      <c r="G91" s="48" t="s">
        <v>857</v>
      </c>
      <c r="H91" s="48" t="s">
        <v>858</v>
      </c>
      <c r="I91" s="216" t="s">
        <v>859</v>
      </c>
      <c r="J91" s="293" t="s">
        <v>860</v>
      </c>
      <c r="K91" s="121">
        <v>145.8</v>
      </c>
      <c r="L91" s="166">
        <v>46.2</v>
      </c>
      <c r="M91" s="166">
        <v>1.6</v>
      </c>
      <c r="N91" s="217">
        <v>100000</v>
      </c>
      <c r="O91" s="217">
        <v>120000</v>
      </c>
      <c r="P91" s="217">
        <v>150000</v>
      </c>
      <c r="Q91" s="217" t="s">
        <v>39</v>
      </c>
      <c r="R91" s="217" t="s">
        <v>39</v>
      </c>
      <c r="S91" s="217" t="s">
        <v>39</v>
      </c>
      <c r="T91" s="217" t="s">
        <v>861</v>
      </c>
      <c r="U91" s="217" t="s">
        <v>862</v>
      </c>
      <c r="V91" s="121" t="s">
        <v>863</v>
      </c>
      <c r="W91" s="48" t="s">
        <v>864</v>
      </c>
      <c r="X91" s="48" t="s">
        <v>865</v>
      </c>
    </row>
    <row r="92" s="3" customFormat="1" ht="50" customHeight="1" spans="1:24">
      <c r="A92" s="39">
        <v>78</v>
      </c>
      <c r="B92" s="205"/>
      <c r="C92" s="185" t="str">
        <f>_xlfn.DISPIMG("ID_C1C3DD1673964338A003046528408D06",1)</f>
        <v>=DISPIMG("ID_C1C3DD1673964338A003046528408D06",1)</v>
      </c>
      <c r="D92" s="39" t="s">
        <v>866</v>
      </c>
      <c r="E92" s="186" t="s">
        <v>867</v>
      </c>
      <c r="F92" s="49" t="s">
        <v>868</v>
      </c>
      <c r="G92" s="187" t="s">
        <v>869</v>
      </c>
      <c r="H92" s="49" t="s">
        <v>870</v>
      </c>
      <c r="I92" s="214" t="s">
        <v>871</v>
      </c>
      <c r="J92" s="114" t="s">
        <v>872</v>
      </c>
      <c r="K92" s="114">
        <v>834.1</v>
      </c>
      <c r="L92" s="215">
        <v>389</v>
      </c>
      <c r="M92" s="215">
        <v>16.1</v>
      </c>
      <c r="N92" s="164">
        <v>100000</v>
      </c>
      <c r="O92" s="164">
        <v>120000</v>
      </c>
      <c r="P92" s="164">
        <v>180000</v>
      </c>
      <c r="Q92" s="164">
        <v>190000</v>
      </c>
      <c r="R92" s="164" t="s">
        <v>88</v>
      </c>
      <c r="S92" s="163" t="s">
        <v>39</v>
      </c>
      <c r="T92" s="164" t="s">
        <v>873</v>
      </c>
      <c r="U92" s="164" t="s">
        <v>874</v>
      </c>
      <c r="V92" s="114" t="s">
        <v>875</v>
      </c>
      <c r="W92" s="49" t="s">
        <v>876</v>
      </c>
      <c r="X92" s="49" t="s">
        <v>43</v>
      </c>
    </row>
    <row r="93" s="3" customFormat="1" ht="50" customHeight="1" spans="1:24">
      <c r="A93" s="34">
        <v>79</v>
      </c>
      <c r="B93" s="125"/>
      <c r="C93" s="190" t="str">
        <f>_xlfn.DISPIMG("ID_8C6F193896D843C881772146799090C3",1)</f>
        <v>=DISPIMG("ID_8C6F193896D843C881772146799090C3",1)</v>
      </c>
      <c r="D93" s="34" t="s">
        <v>877</v>
      </c>
      <c r="E93" s="191" t="s">
        <v>878</v>
      </c>
      <c r="F93" s="48" t="s">
        <v>879</v>
      </c>
      <c r="G93" s="48" t="s">
        <v>59</v>
      </c>
      <c r="H93" s="48" t="s">
        <v>880</v>
      </c>
      <c r="I93" s="216" t="s">
        <v>881</v>
      </c>
      <c r="J93" s="121" t="s">
        <v>882</v>
      </c>
      <c r="K93" s="121">
        <v>192.3</v>
      </c>
      <c r="L93" s="166">
        <v>134.1</v>
      </c>
      <c r="M93" s="166">
        <v>2.9</v>
      </c>
      <c r="N93" s="217">
        <v>28000</v>
      </c>
      <c r="O93" s="217">
        <v>30000</v>
      </c>
      <c r="P93" s="217">
        <v>35000</v>
      </c>
      <c r="Q93" s="217">
        <v>45000</v>
      </c>
      <c r="R93" s="217" t="s">
        <v>88</v>
      </c>
      <c r="S93" s="217" t="s">
        <v>39</v>
      </c>
      <c r="T93" s="217" t="s">
        <v>883</v>
      </c>
      <c r="U93" s="217" t="s">
        <v>884</v>
      </c>
      <c r="V93" s="121" t="s">
        <v>885</v>
      </c>
      <c r="W93" s="48" t="s">
        <v>886</v>
      </c>
      <c r="X93" s="48" t="s">
        <v>43</v>
      </c>
    </row>
    <row r="94" s="3" customFormat="1" ht="50" customHeight="1" spans="1:24">
      <c r="A94" s="39">
        <v>80</v>
      </c>
      <c r="B94" s="205"/>
      <c r="C94" s="185" t="str">
        <f>_xlfn.DISPIMG("ID_4F316C459DC54E2496697C253DDA406C",1)</f>
        <v>=DISPIMG("ID_4F316C459DC54E2496697C253DDA406C",1)</v>
      </c>
      <c r="D94" s="39" t="s">
        <v>887</v>
      </c>
      <c r="E94" s="186" t="s">
        <v>888</v>
      </c>
      <c r="F94" s="49" t="s">
        <v>889</v>
      </c>
      <c r="G94" s="187" t="s">
        <v>890</v>
      </c>
      <c r="H94" s="49" t="s">
        <v>891</v>
      </c>
      <c r="I94" s="214" t="s">
        <v>892</v>
      </c>
      <c r="J94" s="114" t="s">
        <v>893</v>
      </c>
      <c r="K94" s="114">
        <v>66.7</v>
      </c>
      <c r="L94" s="215">
        <v>117.7</v>
      </c>
      <c r="M94" s="215">
        <v>1.9</v>
      </c>
      <c r="N94" s="164">
        <v>25300</v>
      </c>
      <c r="O94" s="164">
        <v>33600</v>
      </c>
      <c r="P94" s="164">
        <v>40000</v>
      </c>
      <c r="Q94" s="164">
        <v>50000</v>
      </c>
      <c r="R94" s="164" t="s">
        <v>894</v>
      </c>
      <c r="S94" s="163" t="s">
        <v>39</v>
      </c>
      <c r="T94" s="164" t="s">
        <v>895</v>
      </c>
      <c r="U94" s="164" t="s">
        <v>896</v>
      </c>
      <c r="V94" s="114" t="s">
        <v>897</v>
      </c>
      <c r="W94" s="49" t="s">
        <v>898</v>
      </c>
      <c r="X94" s="49" t="s">
        <v>780</v>
      </c>
    </row>
    <row r="95" s="3" customFormat="1" ht="50" customHeight="1" spans="1:24">
      <c r="A95" s="34">
        <v>81</v>
      </c>
      <c r="B95" s="125"/>
      <c r="C95" s="190" t="str">
        <f>_xlfn.DISPIMG("ID_7E536C157BFD4F9ABED710D9123262B6",1)</f>
        <v>=DISPIMG("ID_7E536C157BFD4F9ABED710D9123262B6",1)</v>
      </c>
      <c r="D95" s="34" t="s">
        <v>899</v>
      </c>
      <c r="E95" s="191" t="s">
        <v>900</v>
      </c>
      <c r="F95" s="48" t="s">
        <v>901</v>
      </c>
      <c r="G95" s="48" t="s">
        <v>599</v>
      </c>
      <c r="H95" s="48" t="s">
        <v>902</v>
      </c>
      <c r="I95" s="216" t="s">
        <v>903</v>
      </c>
      <c r="J95" s="121" t="s">
        <v>904</v>
      </c>
      <c r="K95" s="121">
        <v>47.6</v>
      </c>
      <c r="L95" s="166" t="s">
        <v>39</v>
      </c>
      <c r="M95" s="166">
        <v>20.8</v>
      </c>
      <c r="N95" s="217">
        <v>32000</v>
      </c>
      <c r="O95" s="217">
        <v>36000</v>
      </c>
      <c r="P95" s="217">
        <v>45000</v>
      </c>
      <c r="Q95" s="217">
        <v>55000</v>
      </c>
      <c r="R95" s="217" t="s">
        <v>88</v>
      </c>
      <c r="S95" s="217" t="s">
        <v>39</v>
      </c>
      <c r="T95" s="217" t="s">
        <v>905</v>
      </c>
      <c r="U95" s="217" t="s">
        <v>906</v>
      </c>
      <c r="V95" s="121" t="s">
        <v>907</v>
      </c>
      <c r="W95" s="48" t="s">
        <v>908</v>
      </c>
      <c r="X95" s="48" t="s">
        <v>43</v>
      </c>
    </row>
    <row r="96" s="3" customFormat="1" ht="50" customHeight="1" spans="1:24">
      <c r="A96" s="39">
        <v>82</v>
      </c>
      <c r="B96" s="205"/>
      <c r="C96" s="185" t="str">
        <f>_xlfn.DISPIMG("ID_AE9EE02D9381402A8221747B347CE141",1)</f>
        <v>=DISPIMG("ID_AE9EE02D9381402A8221747B347CE141",1)</v>
      </c>
      <c r="D96" s="39" t="s">
        <v>909</v>
      </c>
      <c r="E96" s="186" t="s">
        <v>910</v>
      </c>
      <c r="F96" s="49" t="s">
        <v>911</v>
      </c>
      <c r="G96" s="187" t="s">
        <v>912</v>
      </c>
      <c r="H96" s="49" t="s">
        <v>913</v>
      </c>
      <c r="I96" s="214" t="s">
        <v>914</v>
      </c>
      <c r="J96" s="114" t="s">
        <v>915</v>
      </c>
      <c r="K96" s="114">
        <v>68</v>
      </c>
      <c r="L96" s="215">
        <v>104.9</v>
      </c>
      <c r="M96" s="215">
        <v>2.3</v>
      </c>
      <c r="N96" s="164">
        <v>25000</v>
      </c>
      <c r="O96" s="164">
        <v>30000</v>
      </c>
      <c r="P96" s="164">
        <v>50000</v>
      </c>
      <c r="Q96" s="164">
        <v>60000</v>
      </c>
      <c r="R96" s="164" t="s">
        <v>88</v>
      </c>
      <c r="S96" s="163" t="s">
        <v>39</v>
      </c>
      <c r="T96" s="164" t="s">
        <v>916</v>
      </c>
      <c r="U96" s="164" t="s">
        <v>917</v>
      </c>
      <c r="V96" s="114" t="s">
        <v>918</v>
      </c>
      <c r="W96" s="49" t="s">
        <v>919</v>
      </c>
      <c r="X96" s="49" t="s">
        <v>43</v>
      </c>
    </row>
    <row r="97" s="3" customFormat="1" ht="50" customHeight="1" spans="1:24">
      <c r="A97" s="34">
        <v>83</v>
      </c>
      <c r="B97" s="125"/>
      <c r="C97" s="190" t="str">
        <f>_xlfn.DISPIMG("ID_830D7BF9822C4C5DA11066C440555B66",1)</f>
        <v>=DISPIMG("ID_830D7BF9822C4C5DA11066C440555B66",1)</v>
      </c>
      <c r="D97" s="34" t="s">
        <v>920</v>
      </c>
      <c r="E97" s="191" t="s">
        <v>921</v>
      </c>
      <c r="F97" s="48" t="s">
        <v>922</v>
      </c>
      <c r="G97" s="48" t="s">
        <v>923</v>
      </c>
      <c r="H97" s="48" t="s">
        <v>924</v>
      </c>
      <c r="I97" s="216" t="s">
        <v>925</v>
      </c>
      <c r="J97" s="121" t="s">
        <v>926</v>
      </c>
      <c r="K97" s="121">
        <v>51.5</v>
      </c>
      <c r="L97" s="166">
        <v>52.3</v>
      </c>
      <c r="M97" s="166">
        <v>2.9</v>
      </c>
      <c r="N97" s="217">
        <v>12000</v>
      </c>
      <c r="O97" s="217">
        <v>13000</v>
      </c>
      <c r="P97" s="217">
        <v>18000</v>
      </c>
      <c r="Q97" s="217">
        <v>28000</v>
      </c>
      <c r="R97" s="217" t="s">
        <v>88</v>
      </c>
      <c r="S97" s="217">
        <v>13000</v>
      </c>
      <c r="T97" s="217" t="s">
        <v>927</v>
      </c>
      <c r="U97" s="217" t="s">
        <v>928</v>
      </c>
      <c r="V97" s="121" t="s">
        <v>929</v>
      </c>
      <c r="W97" s="48" t="s">
        <v>930</v>
      </c>
      <c r="X97" s="48" t="s">
        <v>43</v>
      </c>
    </row>
    <row r="98" s="3" customFormat="1" ht="50" customHeight="1" spans="1:24">
      <c r="A98" s="39">
        <v>84</v>
      </c>
      <c r="B98" s="205"/>
      <c r="C98" s="185" t="str">
        <f>_xlfn.DISPIMG("ID_E9A3F52CB0E341E39B85A3A3E26B167B",1)</f>
        <v>=DISPIMG("ID_E9A3F52CB0E341E39B85A3A3E26B167B",1)</v>
      </c>
      <c r="D98" s="39" t="s">
        <v>931</v>
      </c>
      <c r="E98" s="186" t="s">
        <v>932</v>
      </c>
      <c r="F98" s="49" t="s">
        <v>933</v>
      </c>
      <c r="G98" s="187" t="s">
        <v>934</v>
      </c>
      <c r="H98" s="49" t="s">
        <v>935</v>
      </c>
      <c r="I98" s="214" t="s">
        <v>936</v>
      </c>
      <c r="J98" s="114" t="s">
        <v>937</v>
      </c>
      <c r="K98" s="114">
        <v>40.3</v>
      </c>
      <c r="L98" s="215">
        <v>711.6</v>
      </c>
      <c r="M98" s="215">
        <v>16.3</v>
      </c>
      <c r="N98" s="164">
        <v>12000</v>
      </c>
      <c r="O98" s="164">
        <v>15000</v>
      </c>
      <c r="P98" s="164">
        <v>18000</v>
      </c>
      <c r="Q98" s="164">
        <v>28000</v>
      </c>
      <c r="R98" s="164" t="s">
        <v>88</v>
      </c>
      <c r="S98" s="163" t="s">
        <v>39</v>
      </c>
      <c r="T98" s="164" t="s">
        <v>938</v>
      </c>
      <c r="U98" s="164" t="s">
        <v>939</v>
      </c>
      <c r="V98" s="114" t="s">
        <v>940</v>
      </c>
      <c r="W98" s="49" t="s">
        <v>941</v>
      </c>
      <c r="X98" s="49" t="s">
        <v>43</v>
      </c>
    </row>
    <row r="99" s="3" customFormat="1" ht="50" customHeight="1" spans="1:24">
      <c r="A99" s="34">
        <v>85</v>
      </c>
      <c r="B99" s="125"/>
      <c r="C99" s="190" t="str">
        <f>_xlfn.DISPIMG("ID_1854D7164B524CD2A6F27AFCD5B8ADB0",1)</f>
        <v>=DISPIMG("ID_1854D7164B524CD2A6F27AFCD5B8ADB0",1)</v>
      </c>
      <c r="D99" s="34" t="s">
        <v>942</v>
      </c>
      <c r="E99" s="191" t="s">
        <v>943</v>
      </c>
      <c r="F99" s="48">
        <v>1580309688</v>
      </c>
      <c r="G99" s="48" t="s">
        <v>944</v>
      </c>
      <c r="H99" s="48" t="s">
        <v>945</v>
      </c>
      <c r="I99" s="216" t="s">
        <v>946</v>
      </c>
      <c r="J99" s="121" t="s">
        <v>947</v>
      </c>
      <c r="K99" s="121">
        <v>34</v>
      </c>
      <c r="L99" s="166">
        <v>404.4</v>
      </c>
      <c r="M99" s="166">
        <v>8.3</v>
      </c>
      <c r="N99" s="217">
        <v>15000</v>
      </c>
      <c r="O99" s="217">
        <v>18000</v>
      </c>
      <c r="P99" s="217">
        <v>20000</v>
      </c>
      <c r="Q99" s="217">
        <v>30000</v>
      </c>
      <c r="R99" s="217" t="s">
        <v>88</v>
      </c>
      <c r="S99" s="217" t="s">
        <v>39</v>
      </c>
      <c r="T99" s="217" t="s">
        <v>948</v>
      </c>
      <c r="U99" s="217" t="s">
        <v>949</v>
      </c>
      <c r="V99" s="121" t="s">
        <v>950</v>
      </c>
      <c r="W99" s="48" t="s">
        <v>951</v>
      </c>
      <c r="X99" s="48" t="s">
        <v>203</v>
      </c>
    </row>
    <row r="100" s="3" customFormat="1" ht="50" customHeight="1" spans="1:24">
      <c r="A100" s="39">
        <v>86</v>
      </c>
      <c r="B100" s="205"/>
      <c r="C100" s="185" t="str">
        <f>_xlfn.DISPIMG("ID_4925C17C02D74797915088ED02389808",1)</f>
        <v>=DISPIMG("ID_4925C17C02D74797915088ED02389808",1)</v>
      </c>
      <c r="D100" s="39" t="s">
        <v>952</v>
      </c>
      <c r="E100" s="186" t="s">
        <v>953</v>
      </c>
      <c r="F100" s="49" t="s">
        <v>954</v>
      </c>
      <c r="G100" s="187" t="s">
        <v>740</v>
      </c>
      <c r="H100" s="49" t="s">
        <v>955</v>
      </c>
      <c r="I100" s="214" t="s">
        <v>956</v>
      </c>
      <c r="J100" s="114" t="s">
        <v>957</v>
      </c>
      <c r="K100" s="114">
        <v>39.4</v>
      </c>
      <c r="L100" s="215">
        <v>65.7</v>
      </c>
      <c r="M100" s="215">
        <v>5.7</v>
      </c>
      <c r="N100" s="164" t="s">
        <v>39</v>
      </c>
      <c r="O100" s="164">
        <v>30000</v>
      </c>
      <c r="P100" s="164">
        <v>30000</v>
      </c>
      <c r="Q100" s="164">
        <v>40000</v>
      </c>
      <c r="R100" s="164" t="s">
        <v>39</v>
      </c>
      <c r="S100" s="163" t="s">
        <v>39</v>
      </c>
      <c r="T100" s="164" t="s">
        <v>958</v>
      </c>
      <c r="U100" s="164" t="s">
        <v>959</v>
      </c>
      <c r="V100" s="114" t="s">
        <v>960</v>
      </c>
      <c r="W100" s="49" t="s">
        <v>961</v>
      </c>
      <c r="X100" s="49" t="s">
        <v>43</v>
      </c>
    </row>
    <row r="101" s="3" customFormat="1" ht="50" customHeight="1" spans="1:24">
      <c r="A101" s="34">
        <v>87</v>
      </c>
      <c r="B101" s="125"/>
      <c r="C101" s="190" t="str">
        <f>_xlfn.DISPIMG("ID_50033B3D41304000BA5BCCBE8CDA6F9D",1)</f>
        <v>=DISPIMG("ID_50033B3D41304000BA5BCCBE8CDA6F9D",1)</v>
      </c>
      <c r="D101" s="34" t="s">
        <v>962</v>
      </c>
      <c r="E101" s="191" t="s">
        <v>963</v>
      </c>
      <c r="F101" s="48">
        <v>62371145628</v>
      </c>
      <c r="G101" s="48" t="s">
        <v>964</v>
      </c>
      <c r="H101" s="48" t="s">
        <v>965</v>
      </c>
      <c r="I101" s="216" t="s">
        <v>966</v>
      </c>
      <c r="J101" s="121" t="s">
        <v>967</v>
      </c>
      <c r="K101" s="121">
        <v>11.1</v>
      </c>
      <c r="L101" s="166">
        <v>115.9</v>
      </c>
      <c r="M101" s="166">
        <v>4.3</v>
      </c>
      <c r="N101" s="217">
        <v>4600</v>
      </c>
      <c r="O101" s="217">
        <v>6000</v>
      </c>
      <c r="P101" s="217">
        <v>8000</v>
      </c>
      <c r="Q101" s="217">
        <v>8000</v>
      </c>
      <c r="R101" s="217" t="s">
        <v>39</v>
      </c>
      <c r="S101" s="217" t="s">
        <v>39</v>
      </c>
      <c r="T101" s="217" t="s">
        <v>968</v>
      </c>
      <c r="U101" s="217" t="s">
        <v>969</v>
      </c>
      <c r="V101" s="121" t="s">
        <v>970</v>
      </c>
      <c r="W101" s="48" t="s">
        <v>971</v>
      </c>
      <c r="X101" s="48" t="s">
        <v>43</v>
      </c>
    </row>
    <row r="102" s="172" customFormat="1" ht="25" customHeight="1" spans="1:24">
      <c r="A102" s="237"/>
      <c r="B102" s="237"/>
      <c r="C102" s="237"/>
      <c r="D102" s="237"/>
      <c r="E102" s="237"/>
      <c r="F102" s="237"/>
      <c r="G102" s="237"/>
      <c r="H102" s="237"/>
      <c r="I102" s="237"/>
      <c r="J102" s="245" t="s">
        <v>972</v>
      </c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50"/>
      <c r="X102" s="250"/>
    </row>
    <row r="103" s="3" customFormat="1" ht="50" customHeight="1" spans="1:24">
      <c r="A103" s="34">
        <v>88</v>
      </c>
      <c r="B103" s="202"/>
      <c r="C103" s="190" t="str">
        <f>_xlfn.DISPIMG("ID_AB48B69CFF0E4D1489CF29B96309937F",1)</f>
        <v>=DISPIMG("ID_AB48B69CFF0E4D1489CF29B96309937F",1)</v>
      </c>
      <c r="D103" s="34" t="s">
        <v>973</v>
      </c>
      <c r="E103" s="191" t="s">
        <v>974</v>
      </c>
      <c r="F103" s="48" t="s">
        <v>975</v>
      </c>
      <c r="G103" s="48" t="s">
        <v>976</v>
      </c>
      <c r="H103" s="48" t="s">
        <v>977</v>
      </c>
      <c r="I103" s="216" t="s">
        <v>978</v>
      </c>
      <c r="J103" s="121" t="s">
        <v>979</v>
      </c>
      <c r="K103" s="121">
        <v>307.6</v>
      </c>
      <c r="L103" s="166">
        <v>137.8</v>
      </c>
      <c r="M103" s="224">
        <v>3.3</v>
      </c>
      <c r="N103" s="220">
        <v>42000</v>
      </c>
      <c r="O103" s="220">
        <v>48000</v>
      </c>
      <c r="P103" s="220">
        <v>58000</v>
      </c>
      <c r="Q103" s="220">
        <v>65000</v>
      </c>
      <c r="R103" s="220" t="s">
        <v>88</v>
      </c>
      <c r="S103" s="220">
        <v>48000</v>
      </c>
      <c r="T103" s="217" t="s">
        <v>980</v>
      </c>
      <c r="U103" s="217" t="s">
        <v>981</v>
      </c>
      <c r="V103" s="121" t="s">
        <v>982</v>
      </c>
      <c r="W103" s="48" t="s">
        <v>983</v>
      </c>
      <c r="X103" s="48" t="s">
        <v>43</v>
      </c>
    </row>
    <row r="104" s="3" customFormat="1" ht="50" customHeight="1" spans="1:24">
      <c r="A104" s="39">
        <v>89</v>
      </c>
      <c r="B104" s="205"/>
      <c r="C104" s="185" t="str">
        <f>_xlfn.DISPIMG("ID_D8999301ECE74ADC88F016B6B888ED40",1)</f>
        <v>=DISPIMG("ID_D8999301ECE74ADC88F016B6B888ED40",1)</v>
      </c>
      <c r="D104" s="39" t="s">
        <v>984</v>
      </c>
      <c r="E104" s="186" t="s">
        <v>985</v>
      </c>
      <c r="F104" s="49" t="s">
        <v>986</v>
      </c>
      <c r="G104" s="187" t="s">
        <v>987</v>
      </c>
      <c r="H104" s="49" t="s">
        <v>988</v>
      </c>
      <c r="I104" s="214" t="s">
        <v>989</v>
      </c>
      <c r="J104" s="114" t="s">
        <v>990</v>
      </c>
      <c r="K104" s="114">
        <v>167.3</v>
      </c>
      <c r="L104" s="215">
        <v>79.9</v>
      </c>
      <c r="M104" s="215">
        <v>0.8</v>
      </c>
      <c r="N104" s="164">
        <v>15000</v>
      </c>
      <c r="O104" s="164">
        <v>20000</v>
      </c>
      <c r="P104" s="164">
        <v>26000</v>
      </c>
      <c r="Q104" s="164">
        <v>36000</v>
      </c>
      <c r="R104" s="164" t="s">
        <v>991</v>
      </c>
      <c r="S104" s="163" t="s">
        <v>39</v>
      </c>
      <c r="T104" s="164" t="s">
        <v>992</v>
      </c>
      <c r="U104" s="164" t="s">
        <v>993</v>
      </c>
      <c r="V104" s="114" t="s">
        <v>994</v>
      </c>
      <c r="W104" s="49" t="s">
        <v>995</v>
      </c>
      <c r="X104" s="49" t="s">
        <v>996</v>
      </c>
    </row>
    <row r="105" s="3" customFormat="1" ht="50" customHeight="1" spans="1:24">
      <c r="A105" s="34">
        <v>90</v>
      </c>
      <c r="B105" s="202"/>
      <c r="C105" s="190" t="str">
        <f>_xlfn.DISPIMG("ID_BFD3B791873840F7A6BD274172DDF735",1)</f>
        <v>=DISPIMG("ID_BFD3B791873840F7A6BD274172DDF735",1)</v>
      </c>
      <c r="D105" s="34" t="s">
        <v>997</v>
      </c>
      <c r="E105" s="191" t="s">
        <v>998</v>
      </c>
      <c r="F105" s="48" t="s">
        <v>999</v>
      </c>
      <c r="G105" s="48" t="s">
        <v>1000</v>
      </c>
      <c r="H105" s="48" t="s">
        <v>1001</v>
      </c>
      <c r="I105" s="216" t="s">
        <v>1002</v>
      </c>
      <c r="J105" s="121" t="s">
        <v>1003</v>
      </c>
      <c r="K105" s="121">
        <v>114</v>
      </c>
      <c r="L105" s="166">
        <v>17.1</v>
      </c>
      <c r="M105" s="166">
        <v>0.8</v>
      </c>
      <c r="N105" s="220">
        <v>10000</v>
      </c>
      <c r="O105" s="220">
        <v>15000</v>
      </c>
      <c r="P105" s="220">
        <v>20000</v>
      </c>
      <c r="Q105" s="220">
        <v>30000</v>
      </c>
      <c r="R105" s="220" t="s">
        <v>88</v>
      </c>
      <c r="S105" s="217" t="s">
        <v>39</v>
      </c>
      <c r="T105" s="217" t="s">
        <v>1004</v>
      </c>
      <c r="U105" s="217" t="s">
        <v>1005</v>
      </c>
      <c r="V105" s="121" t="s">
        <v>1006</v>
      </c>
      <c r="W105" s="48" t="s">
        <v>1007</v>
      </c>
      <c r="X105" s="48" t="s">
        <v>43</v>
      </c>
    </row>
    <row r="106" s="3" customFormat="1" ht="50" customHeight="1" spans="1:24">
      <c r="A106" s="39">
        <v>91</v>
      </c>
      <c r="B106" s="205"/>
      <c r="C106" s="185" t="str">
        <f>_xlfn.DISPIMG("ID_EAA13C94DEE44554B6E5FF457FBA0BD5",1)</f>
        <v>=DISPIMG("ID_EAA13C94DEE44554B6E5FF457FBA0BD5",1)</v>
      </c>
      <c r="D106" s="39" t="s">
        <v>1008</v>
      </c>
      <c r="E106" s="186" t="s">
        <v>1009</v>
      </c>
      <c r="F106" s="49" t="s">
        <v>1010</v>
      </c>
      <c r="G106" s="187" t="s">
        <v>987</v>
      </c>
      <c r="H106" s="49" t="s">
        <v>1011</v>
      </c>
      <c r="I106" s="214" t="s">
        <v>1012</v>
      </c>
      <c r="J106" s="114" t="s">
        <v>1013</v>
      </c>
      <c r="K106" s="114">
        <v>179.1</v>
      </c>
      <c r="L106" s="215">
        <v>16.8</v>
      </c>
      <c r="M106" s="215">
        <v>0.7</v>
      </c>
      <c r="N106" s="164">
        <v>18000</v>
      </c>
      <c r="O106" s="164">
        <v>24000</v>
      </c>
      <c r="P106" s="164">
        <v>30000</v>
      </c>
      <c r="Q106" s="164">
        <v>40000</v>
      </c>
      <c r="R106" s="164" t="s">
        <v>88</v>
      </c>
      <c r="S106" s="163" t="s">
        <v>39</v>
      </c>
      <c r="T106" s="164" t="s">
        <v>1014</v>
      </c>
      <c r="U106" s="164" t="s">
        <v>1015</v>
      </c>
      <c r="V106" s="114" t="s">
        <v>1016</v>
      </c>
      <c r="W106" s="49" t="s">
        <v>1017</v>
      </c>
      <c r="X106" s="49" t="s">
        <v>43</v>
      </c>
    </row>
    <row r="107" s="3" customFormat="1" ht="50" customHeight="1" spans="1:24">
      <c r="A107" s="34">
        <v>92</v>
      </c>
      <c r="B107" s="202"/>
      <c r="C107" s="190" t="str">
        <f>_xlfn.DISPIMG("ID_2D918995B2494A658A308D54EF1B22DA",1)</f>
        <v>=DISPIMG("ID_2D918995B2494A658A308D54EF1B22DA",1)</v>
      </c>
      <c r="D107" s="34" t="s">
        <v>1018</v>
      </c>
      <c r="E107" s="191" t="s">
        <v>1019</v>
      </c>
      <c r="F107" s="48">
        <v>32909938645</v>
      </c>
      <c r="G107" s="48" t="s">
        <v>1000</v>
      </c>
      <c r="H107" s="48" t="s">
        <v>1020</v>
      </c>
      <c r="I107" s="216" t="s">
        <v>1021</v>
      </c>
      <c r="J107" s="121" t="s">
        <v>1022</v>
      </c>
      <c r="K107" s="121">
        <v>110.2</v>
      </c>
      <c r="L107" s="166">
        <v>57.4</v>
      </c>
      <c r="M107" s="166">
        <v>1.3</v>
      </c>
      <c r="N107" s="217">
        <v>12000</v>
      </c>
      <c r="O107" s="217">
        <v>18000</v>
      </c>
      <c r="P107" s="217">
        <v>26000</v>
      </c>
      <c r="Q107" s="217">
        <v>36000</v>
      </c>
      <c r="R107" s="217" t="s">
        <v>88</v>
      </c>
      <c r="S107" s="217" t="s">
        <v>39</v>
      </c>
      <c r="T107" s="217" t="s">
        <v>1023</v>
      </c>
      <c r="U107" s="217" t="s">
        <v>1024</v>
      </c>
      <c r="V107" s="121" t="s">
        <v>1025</v>
      </c>
      <c r="W107" s="48" t="s">
        <v>1026</v>
      </c>
      <c r="X107" s="48" t="s">
        <v>43</v>
      </c>
    </row>
    <row r="108" s="3" customFormat="1" ht="50" customHeight="1" spans="1:24">
      <c r="A108" s="39">
        <v>93</v>
      </c>
      <c r="B108" s="205"/>
      <c r="C108" s="185" t="str">
        <f>_xlfn.DISPIMG("ID_1E3496E9C6C14248A4AB0CED55EB7B22",1)</f>
        <v>=DISPIMG("ID_1E3496E9C6C14248A4AB0CED55EB7B22",1)</v>
      </c>
      <c r="D108" s="39" t="s">
        <v>1027</v>
      </c>
      <c r="E108" s="186" t="s">
        <v>1028</v>
      </c>
      <c r="F108" s="49" t="s">
        <v>1029</v>
      </c>
      <c r="G108" s="187" t="s">
        <v>1000</v>
      </c>
      <c r="H108" s="49" t="s">
        <v>1030</v>
      </c>
      <c r="I108" s="214" t="s">
        <v>1031</v>
      </c>
      <c r="J108" s="114" t="s">
        <v>1032</v>
      </c>
      <c r="K108" s="114">
        <v>25.7</v>
      </c>
      <c r="L108" s="215">
        <v>357.5</v>
      </c>
      <c r="M108" s="215">
        <v>11.1</v>
      </c>
      <c r="N108" s="164">
        <v>6000</v>
      </c>
      <c r="O108" s="164">
        <v>8000</v>
      </c>
      <c r="P108" s="164">
        <v>9500</v>
      </c>
      <c r="Q108" s="164">
        <v>19500</v>
      </c>
      <c r="R108" s="164" t="s">
        <v>88</v>
      </c>
      <c r="S108" s="163" t="s">
        <v>39</v>
      </c>
      <c r="T108" s="164" t="s">
        <v>1033</v>
      </c>
      <c r="U108" s="164" t="s">
        <v>1034</v>
      </c>
      <c r="V108" s="114" t="s">
        <v>1035</v>
      </c>
      <c r="W108" s="49" t="s">
        <v>1036</v>
      </c>
      <c r="X108" s="49" t="s">
        <v>43</v>
      </c>
    </row>
    <row r="109" s="3" customFormat="1" ht="50" customHeight="1" spans="1:24">
      <c r="A109" s="34">
        <v>94</v>
      </c>
      <c r="B109" s="202"/>
      <c r="C109" s="190" t="str">
        <f>_xlfn.DISPIMG("ID_1DD451BE884443BD89AF331DE5850639",1)</f>
        <v>=DISPIMG("ID_1DD451BE884443BD89AF331DE5850639",1)</v>
      </c>
      <c r="D109" s="34" t="s">
        <v>1037</v>
      </c>
      <c r="E109" s="191" t="s">
        <v>1038</v>
      </c>
      <c r="F109" s="48" t="s">
        <v>1039</v>
      </c>
      <c r="G109" s="48" t="s">
        <v>1000</v>
      </c>
      <c r="H109" s="48" t="s">
        <v>1040</v>
      </c>
      <c r="I109" s="216" t="s">
        <v>1041</v>
      </c>
      <c r="J109" s="121" t="s">
        <v>1042</v>
      </c>
      <c r="K109" s="121">
        <v>217</v>
      </c>
      <c r="L109" s="166">
        <v>36.3</v>
      </c>
      <c r="M109" s="166">
        <v>1.2</v>
      </c>
      <c r="N109" s="217">
        <v>20000</v>
      </c>
      <c r="O109" s="217">
        <v>28000</v>
      </c>
      <c r="P109" s="217">
        <v>38000</v>
      </c>
      <c r="Q109" s="217">
        <v>48000</v>
      </c>
      <c r="R109" s="217" t="s">
        <v>88</v>
      </c>
      <c r="S109" s="217" t="s">
        <v>39</v>
      </c>
      <c r="T109" s="217" t="s">
        <v>1043</v>
      </c>
      <c r="U109" s="217" t="s">
        <v>1044</v>
      </c>
      <c r="V109" s="121" t="s">
        <v>1045</v>
      </c>
      <c r="W109" s="48" t="s">
        <v>1046</v>
      </c>
      <c r="X109" s="48" t="s">
        <v>43</v>
      </c>
    </row>
    <row r="110" s="1" customFormat="1" ht="50" customHeight="1" spans="1:24">
      <c r="A110" s="238">
        <v>95</v>
      </c>
      <c r="B110" s="239"/>
      <c r="C110" s="240" t="str">
        <f>_xlfn.DISPIMG("ID_AE0FADB7180045B4A3DFEFA8B30AE612",1)</f>
        <v>=DISPIMG("ID_AE0FADB7180045B4A3DFEFA8B30AE612",1)</v>
      </c>
      <c r="D110" s="238" t="s">
        <v>1047</v>
      </c>
      <c r="E110" s="241" t="s">
        <v>1048</v>
      </c>
      <c r="F110" s="159">
        <v>4538698</v>
      </c>
      <c r="G110" s="159" t="s">
        <v>1049</v>
      </c>
      <c r="H110" s="159" t="s">
        <v>1050</v>
      </c>
      <c r="I110" s="246" t="s">
        <v>1051</v>
      </c>
      <c r="J110" s="247" t="s">
        <v>1052</v>
      </c>
      <c r="K110" s="247">
        <v>362</v>
      </c>
      <c r="L110" s="248">
        <v>113</v>
      </c>
      <c r="M110" s="248">
        <v>2.8</v>
      </c>
      <c r="N110" s="249">
        <v>40000</v>
      </c>
      <c r="O110" s="249">
        <v>55000</v>
      </c>
      <c r="P110" s="249">
        <v>65000</v>
      </c>
      <c r="Q110" s="249">
        <v>75000</v>
      </c>
      <c r="R110" s="249" t="s">
        <v>88</v>
      </c>
      <c r="S110" s="249">
        <v>55000</v>
      </c>
      <c r="T110" s="249" t="s">
        <v>1053</v>
      </c>
      <c r="U110" s="249" t="s">
        <v>1054</v>
      </c>
      <c r="V110" s="249" t="s">
        <v>1055</v>
      </c>
      <c r="W110" s="159" t="s">
        <v>1056</v>
      </c>
      <c r="X110" s="159" t="s">
        <v>43</v>
      </c>
    </row>
  </sheetData>
  <autoFilter xmlns:etc="http://www.wps.cn/officeDocument/2017/etCustomData" ref="A2:AE110" etc:filterBottomFollowUsedRange="0">
    <extLst/>
  </autoFilter>
  <mergeCells count="2">
    <mergeCell ref="A1:X1"/>
    <mergeCell ref="N8:P8"/>
  </mergeCells>
  <hyperlinks>
    <hyperlink ref="H110" r:id="rId2" display="https://v.douyin.com/ee1Ud3N/" tooltip="https://v.douyin.com/ee1Ud3N/"/>
    <hyperlink ref="H59" r:id="rId3" display="https://v.douyin.com/NYLLwJm/"/>
    <hyperlink ref="H10" r:id="rId4" display="https://v.douyin.com/EngtHX/"/>
    <hyperlink ref="H81" r:id="rId5" display="https://v.douyin.com/JGoHUQ1/"/>
    <hyperlink ref="H24" r:id="rId6" display="https://v.douyin.com/En7hpe/"/>
    <hyperlink ref="H11" r:id="rId7" display="https://v.douyin.com/JCK38Tm/"/>
    <hyperlink ref="H14" r:id="rId8" display="https://v.douyin.com/eCcKy1K/"/>
    <hyperlink ref="H47" r:id="rId9" display="https://v.douyin.com/8bbdWJN/"/>
    <hyperlink ref="H19" r:id="rId10" display="https://v.douyin.com/N9wSKAr/" tooltip="https://v.douyin.com/N9wSKAr/"/>
    <hyperlink ref="H103" r:id="rId11" display="https://v.douyin.com/qAah9R/"/>
    <hyperlink ref="H45" r:id="rId12" display="https://v.douyin.com/evchkkA/"/>
    <hyperlink ref="H97" r:id="rId13" display="https://v.douyin.com/En7thx/"/>
    <hyperlink ref="H26" r:id="rId14" display="https://v.douyin.com/dQcJY1k/" tooltip="https://v.douyin.com/dQcJY1k/"/>
    <hyperlink ref="H25" r:id="rId15" display="https://v.douyin.com/RLPXyXk/"/>
    <hyperlink ref="H41" r:id="rId16" display="https://v.douyin.com/YSFB7Vh/"/>
    <hyperlink ref="H36" r:id="rId17" display="https://v.douyin.com/jw6LBUB/"/>
    <hyperlink ref="H34" r:id="rId18" display="https://v.douyin.com/rNwDm9W/"/>
    <hyperlink ref="H109" r:id="rId19" display="https://v.douyin.com/rVAPr2p/"/>
    <hyperlink ref="H57" r:id="rId20" display="https://v.douyin.com/rbL8XVL/"/>
    <hyperlink ref="H49" r:id="rId21" display="https://v.douyin.com/hQeDxNC/"/>
    <hyperlink ref="H95" r:id="rId22" display="https://v.douyin.com/N7vAXXo/"/>
    <hyperlink ref="H96" r:id="rId23" display="https://v.douyin.com/YFDupKa/"/>
    <hyperlink ref="H40" r:id="rId24" display="https://v.douyin.com/BNvsvjV/"/>
    <hyperlink ref="H16" r:id="rId25" display="https://v.douyin.com/BcRnESq/"/>
    <hyperlink ref="H73" r:id="rId26" display="https://v.douyin.com/S2jDbCK/"/>
    <hyperlink ref="H50" r:id="rId27" display="https://v.douyin.com/SyqNhh3/"/>
    <hyperlink ref="H82" r:id="rId28" display="https://v.douyin.com/AvYkCxx/"/>
    <hyperlink ref="H89" r:id="rId29" display="https://v.douyin.com/AEx3WQG/"/>
    <hyperlink ref="H13" r:id="rId30" display="https://v.douyin.com/jcNeW61/" tooltip="https://v.douyin.com/jcNeW61/"/>
    <hyperlink ref="H52" r:id="rId31" display="https://v.douyin.com/U7hrxCa/"/>
    <hyperlink ref="H53" r:id="rId32" display="https://v.douyin.com/iJCV86d/"/>
    <hyperlink ref="H8" r:id="rId33" display="https://v.douyin.com/N59HuqG/"/>
    <hyperlink ref="H21" r:id="rId34" display="https://v.douyin.com/UYCTfS6/"/>
    <hyperlink ref="H85" r:id="rId35" display="https://v.douyin.com/i3omXSR/"/>
    <hyperlink ref="H99" r:id="rId36" display="https://v.douyin.com/ieJEk27r/"/>
    <hyperlink ref="H48" r:id="rId37" display="https://v.douyin.com/idVsSMmU/"/>
    <hyperlink ref="H51" r:id="rId38" display="https://v.douyin.com/iRjb6jSc/"/>
    <hyperlink ref="H54" r:id="rId39" display="https://v.douyin.com/iRoxMA1u/ 0@8.com"/>
    <hyperlink ref="H87" r:id="rId40" display="https://v.douyin.com/iLb8hLmv/"/>
    <hyperlink ref="H63" r:id="rId41" display="https://v.douyin.com/iLnrNjSN/"/>
    <hyperlink ref="H27" r:id="rId42" display="https://v.douyin.com/eC3yEYf/"/>
    <hyperlink ref="H28" r:id="rId43" display="https://v.douyin.com/8Y1YhAe/"/>
    <hyperlink ref="H12" r:id="rId44" display="https://v.douyin.com/FSgqeNj/"/>
    <hyperlink ref="H15" r:id="rId45" display="https://v.douyin.com/ijAbtYL4/"/>
    <hyperlink ref="H79" r:id="rId46" display="https://v.douyin.com/ijjdY42F/"/>
    <hyperlink ref="H106" r:id="rId47" display="https://v.douyin.com/iY85x94D/"/>
    <hyperlink ref="H107" r:id="rId48" display="https://v.douyin.com/i2H5qaFs/"/>
    <hyperlink ref="H61" r:id="rId49" display="https://v.douyin.com/i6jrprmo/ 5@2.com" tooltip="https://v.douyin.com/i6jrprmo/ 5@2.com"/>
    <hyperlink ref="H83" r:id="rId50" display="https://v.douyin.com/iM2Se3jJ/" tooltip="https://v.douyin.com/iM2Se3jJ/"/>
    <hyperlink ref="H62" r:id="rId51" display="https://v.douyin.com/iM2BnUWc/" tooltip="https://v.douyin.com/iM2BnUWc/"/>
    <hyperlink ref="H92" r:id="rId52" display="https://v.douyin.com/rFQ1mYB/"/>
    <hyperlink ref="H37" r:id="rId53" display="https://v.douyin.com/ik1j1xge/ 9@3.com"/>
    <hyperlink ref="H43" r:id="rId54" display="https://v.douyin.com/iMskdSfA/"/>
    <hyperlink ref="H88" r:id="rId55" display="https://v.douyin.com/ihY3Bnto/ 3@1.com"/>
    <hyperlink ref="H98" r:id="rId56" display="https://v.douyin.com/ihLfY4my/ 1@8.com"/>
    <hyperlink ref="H29" r:id="rId57" display="https://v.douyin.com/ikHJhdsd/ 5@0.com"/>
    <hyperlink ref="H32" r:id="rId58" display="https://v.douyin.com/iBXmyyq9/ 3@3.com"/>
    <hyperlink ref="H104" r:id="rId59" display="https://v.douyin.com/24q2eQN/"/>
    <hyperlink ref="H60" r:id="rId60" display="https://v.douyin.com/iDDaWpJE/ 8@1.com :1pm" tooltip="https://v.douyin.com/iDDaWpJE/ 8@1.com :1pm"/>
    <hyperlink ref="H38" r:id="rId61" display="https://v.douyin.com/iDDUXSLj/ 9@1.com :2pm"/>
    <hyperlink ref="H105" r:id="rId62" display="https://v.douyin.com/iUU8cHHq/"/>
    <hyperlink ref="H78" r:id="rId63" display="https://v.douyin.com/FSHKXaa/"/>
    <hyperlink ref="H65" r:id="rId64" display="https://v.douyin.com/RNPgvkV/" tooltip="https://v.douyin.com/RNPgvkV/"/>
    <hyperlink ref="H108" r:id="rId65" display="https://v.douyin.com/iYBa8VBc/"/>
    <hyperlink ref="H22" r:id="rId66" display="https://v.douyin.com/iy5xpGEA/"/>
    <hyperlink ref="H94" r:id="rId67" display="https://v.douyin.com/iyQ6npBH/"/>
    <hyperlink ref="H93" r:id="rId68" display="https://v.douyin.com/iDDrdfwC/ 9@0.com"/>
    <hyperlink ref="H84" r:id="rId69" display="https://v.douyin.com/dHJh1Q1/"/>
    <hyperlink ref="H91" r:id="rId70" display="https://v.douyin.com/i5WxXkUV/"/>
    <hyperlink ref="H101" r:id="rId71" display="https://v.douyin.com/rXkgpu2/"/>
    <hyperlink ref="H100" r:id="rId72" display="https://v.douyin.com/SHRaGVS/"/>
    <hyperlink ref="H35" r:id="rId73" display="https://v.douyin.com/D2Syf86/"/>
    <hyperlink ref="H64" r:id="rId74" display="https://v.douyin.com/l48-W0BWH2c/" tooltip="https://v.douyin.com/l48-W0BWH2c/"/>
    <hyperlink ref="H6" r:id="rId75" display="https://v.douyin.com/_lMUnKhZ_vE/"/>
    <hyperlink ref="H77" r:id="rId76" display="https://v.douyin.com/hVkL42J/"/>
    <hyperlink ref="H76" r:id="rId77" display="https://v.douyin.com/iN7QSUQs/"/>
    <hyperlink ref="H74" r:id="rId78" display="https://v.douyin.com/i5boShFY/"/>
    <hyperlink ref="H75" r:id="rId79" display="https://v.douyin.com/iSSP2279/ 2@2.com"/>
    <hyperlink ref="H71" r:id="rId80" display="https://v.douyin.com/ieJE8VSW/"/>
    <hyperlink ref="H69" r:id="rId81" display="https://v.douyin.com/iJPnXVxk/"/>
    <hyperlink ref="H67" r:id="rId82" display="https://v.douyin.com/iJPnedXN/"/>
    <hyperlink ref="H68" r:id="rId83" display="https://v.douyin.com/iLnMvpHr/"/>
    <hyperlink ref="I104" r:id="rId84" display="https://www.xingtu.cn/ad/creator/author-homepage/douyin-video/6984651683640901662?market_track_id=L7P4GANMST0846PF62J0&amp;search_session_id=7506419875221504011&amp;video_type=2&amp;_route_from=from_page%3DMarket%26search_session_id%3D7506419875221504011%26is_for_order%3D1%26market_track_id%3DL7P4GANMST0846PF62J0%26platform_source%3D1%26key%3D%25E9%25B9%25BF%25E5%2584%25BFer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ooltip="https://www.xingtu.cn/ad/creator/author-homepage/douyin-video/6984651683640901662?market_track_id=L7P4GANMST0846PF62J0&amp;search_session_id=7506419875221504011&amp;video_type=2&amp;_route_from=from_page%3DMarket%26search_session_id%3D7506419875221504011%26is_for_ord"/>
    <hyperlink ref="I8" r:id="rId85" display="https://www.xingtu.cn/ad/creator/author-homepage/douyin-video/7078614603908317197?market_track_id=1YSRQNKR4S0KIKU5Y91R&amp;search_session_id=7506416249376358439&amp;video_type=2&amp;_route_from=from_page%3DMarket%26search_session_id%3D7506416249376358439%26is_for_order%3D1%26market_track_id%3D1YSRQNKR4S0KIKU5Y91R%26platform_source%3D1%26key%3D%25E6%259C%25B1%25E9%2593%2581%25E9%259B%258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1" r:id="rId86" display="https://www.xingtu.cn/ad/creator/author-homepage/douyin-video/6639507729494835203?market_track_id=S08FD099W7OEDKAWYKAC&amp;search_session_id=7506416438765666323&amp;video_type=2&amp;_route_from=from_page%3DMarket%26search_session_id%3D7506416438765666323%26is_for_order%3D1%26market_track_id%3DS08FD099W7OEDKAWYKAC%26platform_source%3D1%26key%3D%25E9%259F%25A6%25E5%25BA%25B7vico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2" r:id="rId87" display="https://www.xingtu.cn/ad/creator/author-homepage/douyin-video/6746573383141425164?market_track_id=IQF8MKDF0SBPY8SY7L1R&amp;search_session_id=7506414821974310953&amp;video_type=2&amp;_route_from=from_page%3DMarket%26search_session_id%3D7506414821974310953%26is_for_order%3D1%26market_track_id%3DIQF8MKDF0SBPY8SY7L1R%26platform_source%3D1%26key%3D%25E8%25A5%25BF%25E7%2593%259C%25E5%25A5%2587%25E5%25B9%25BB%25E5%25B7%25A5%25E5%258E%2582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I10" r:id="rId88" display="https://www.xingtu.cn/ad/creator/author-homepage/douyin-video/6701875533669466123?market_track_id=Y0AJ09JJPQMI0X9YE9AH&amp;search_session_id=7506416770640199721&amp;video_type=2&amp;_route_from=from_page%3DMarket%26search_session_id%3D7506416770640199721%26is_for_order%3D1%26market_track_id%3DY0AJ09JJPQMI0X9YE9AH%26platform_source%3D1%26key%3D%25E5%25BD%25A6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1" r:id="rId89" display="https://www.xingtu.cn/ad/creator/author-homepage/douyin-video/6901242939247181837?market_track_id=3NJRXSI18EDC89GFPWSA&amp;search_session_id=7506417328482517003&amp;video_type=2&amp;_route_from=from_page%3DMarket%26search_session_id%3D7506417328482517003%26is_for_order%3D1%26market_track_id%3D3NJRXSI18EDC89GFPWSA%26platform_source%3D1%26key%3D%25E5%258A%25A0%25E8%258F%25B2%25E8%258F%25A1z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2" r:id="rId90" display="https://www.xingtu.cn/ad/creator/author-homepage/douyin-video/7088976987129118750?market_track_id=PKJYMCMSCNCDLLT2NLC8&amp;search_session_id=7506417544229322771&amp;video_type=2&amp;_route_from=from_page%3DMarket%26search_session_id%3D7506417544229322771%26is_for_order%3D1%26market_track_id%3DPKJYMCMSCNCDLLT2NLC8%26platform_source%3D1%26key%3D%25E6%2597%25A0%25E7%25B3%2596%25E5%25A5%25B6%25E8%258C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3" r:id="rId91" display="https://www.xingtu.cn/ad/creator/author-homepage/douyin-video/6969058840033624100?market_track_id=HO4R075KN87AMKT91EZI&amp;search_session_id=7506417746180341771&amp;video_type=2&amp;_route_from=from_page%3DMarket%26search_session_id%3D7506417746180341771%26is_for_order%3D1%26market_track_id%3DHO4R075KN87AMKT91EZI%26platform_source%3D1%26key%3D%25E5%2591%25A8%25E4%25B8%2589%25E6%258B%25B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4" r:id="rId92" display="https://www.xingtu.cn/ad/creator/author-homepage/douyin-video/6972449205344272397?market_track_id=12F1X1FVTARAS8ZLYBSV&amp;search_session_id=7506417675443978303&amp;video_type=2&amp;_route_from=from_page%3DMarket%26search_session_id%3D7506417675443978303%26is_for_order%3D1%26market_track_id%3D12F1X1FVTARAS8ZLYBSV%26platform_source%3D1%26key%3D%25E5%25A4%25A7%25E9%25BB%2584h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5" r:id="rId93" display="https://www.xingtu.cn/ad/creator/author-homepage/douyin-video/6870159698314657800?market_track_id=M6JS4GY2JCQA979V3KAD&amp;search_session_id=7506417872022290443&amp;video_type=2&amp;_route_from=from_page%3DMarket%26search_session_id%3D7506417872022290443%26is_for_order%3D1%26market_track_id%3DM6JS4GY2JCQA979V3KAD%26platform_source%3D1%26key%3D%25E5%25A9%25B5%25E5%25A9%25B5%25E8%25AF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9" r:id="rId94" display="https://www.xingtu.cn/ad/creator/author-homepage/douyin-video/6740393506990194696?market_track_id=DRKK9SM8L3131BHUIM88&amp;search_session_id=7506417872022700043&amp;video_type=2&amp;_route_from=from_page%3DMarket%26search_session_id%3D7506417872022700043%26is_for_order%3D1%26market_track_id%3DDRKK9SM8L3131BHUIM88%26platform_source%3D1%26key%3D%25E8%2583%2596%25E5%2598%259F%25E5%2598%259F%25E7%259A%2584%25E5%2598%259F%25E5%2598%259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6" r:id="rId95" display="https://www.xingtu.cn/ad/creator/author-homepage/douyin-video/6862212139365433351?market_track_id=JXOUKGOXRY4JAFGRHUQG&amp;search_session_id=7506418242886713356&amp;video_type=2&amp;_route_from=from_page%3DMarket%26search_session_id%3D7506418242886713356%26is_for_order%3D1%26market_track_id%3DJXOUKGOXRY4JAFGRHUQG%26platform_source%3D1%26key%3D%25E9%259D%2596%25E9%259B%2585%25E6%25AC%25A7%25E5%25B7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4" r:id="rId96" display="https://www.xingtu.cn/ad/creator/author-homepage/douyin-video/6810323760353116173?market_track_id=IA07VR1GJP47ACCZYL53&amp;search_session_id=7506418842764410892&amp;video_type=2&amp;_route_from=from_page%3DMarket%26search_session_id%3D7506418842764410892%26is_for_order%3D1%26market_track_id%3DIA07VR1GJP47ACCZYL53%26platform_source%3D1%26key%3D%25E6%259D%258E%25E4%25BA%258C%25E7%258B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5" r:id="rId97" display="https://www.xingtu.cn/ad/creator/author-homepage/douyin-video/6949818439837941797?market_track_id=9OPR4JK5A7HVRUI77UJN&amp;search_session_id=7506418791321731126&amp;video_type=2&amp;_route_from=from_page%3DMarket%26search_session_id%3D7506418791321731126%26is_for_order%3D1%26market_track_id%3D9OPR4JK5A7HVRUI77UJN%26platform_source%3D1%26key%3D%25E6%259E%2581%25E9%2580%259F%25E9%25A9%25AC%25E5%258A%259Bpart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6" r:id="rId98" display="https://www.xingtu.cn/ad/creator/author-homepage/douyin-video/6816605527640899598?market_track_id=T4VYPHWIK0LQXBFN71SP&amp;search_session_id=7506415324775596095&amp;video_type=2&amp;_route_from=from_page%3DMarket%26search_session_id%3D7506415324775596095%26is_for_order%3D1%26market_track_id%3DT4VYPHWIK0LQXBFN71SP%26platform_source%3D1%26key%3D%25E7%2599%25BD%25E8%2580%2581%25E5%25B8%2588%25E5%25B0%25B1%25E6%2598%25AF%25E7%2599%25BD%25E8%2580%2581%25E5%25B8%2588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I27" r:id="rId99" display="https://www.xingtu.cn/ad/creator/author-homepage/douyin-video/6629127176400666631?market_track_id=N70MFCTDKM9P7OANQPMW&amp;search_session_id=7506419022990000191&amp;video_type=2&amp;_route_from=from_page%3DMarket%26search_session_id%3D7506419022990000191%26is_for_order%3D1%26market_track_id%3DN70MFCTDKM9P7OANQPMW%26platform_source%3D1%26key%3D%25E5%25A4%258F77%25F0%259F%259F%25A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8" r:id="rId100" display="https://www.xingtu.cn/ad/creator/author-homepage/douyin-video/6629725045386117128?market_track_id=SUU99W0ZLQ0TMB899JER&amp;search_session_id=7506419291269644299&amp;video_type=2&amp;_route_from=from_page%3DMarket%26search_session_id%3D7506419291269644299%26is_for_order%3D1%26market_track_id%3DSUU99W0ZLQ0TMB899JER%26platform_source%3D1%26key%3D%25E4%25B8%2581%25E5%2595%258A%25E5%258F%25A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9" r:id="rId101" display="https://www.xingtu.cn/ad/creator/author-homepage/douyin-video/6855307372995280896?market_track_id=0U7XA97WQ7FAZ0HB1OQJ&amp;search_session_id=7506419289869107212&amp;video_type=2&amp;_route_from=from_page%3DMarket%26search_session_id%3D7506419289869107212%26is_for_order%3D1%26market_track_id%3D0U7XA97WQ7FAZ0HB1OQJ%26platform_source%3D1%26key%3D%25E8%2592%258B%25E4%25B8%2580%25E4%25BA%25BF%25F0%259F%259A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2" r:id="rId102" display="https://www.xingtu.cn/ad/creator/author-homepage/douyin-video/6959337293316358177?market_track_id=ZFTAZJCSHTMZDAY2RDSW&amp;search_session_id=7506419462191530047&amp;video_type=2&amp;_route_from=from_page%3DMarket%26search_session_id%3D7506419462191530047%26is_for_order%3D1%26market_track_id%3DZFTAZJCSHTMZDAY2RDSW%26platform_source%3D1%26key%3D%25E7%259A%25AE%25E5%258D%25A1%25E7%2599%25BD%25E7%259A%2584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4" r:id="rId103" display="https://www.xingtu.cn/ad/creator/author-homepage/douyin-video/6789921129067724814?market_track_id=J7IHFN9EOYAI4FHGGJAS&amp;search_session_id=7506418399556157494&amp;video_type=2&amp;_route_from=from_page%3DMarket%26search_session_id%3D7506418399556157494%26is_for_order%3D1%26market_track_id%3DJ7IHFN9EOYAI4FHGGJAS%26platform_source%3D1%26key%3D%25E8%25B6%2585%25E4%25B8%258D%25E5%258F%25AF%25E7%2588%25B1%25E5%25B0%258F%25E6%259C%258B%25E5%258F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5" r:id="rId104" display="https://www.xingtu.cn/ad/creator/author-homepage/douyin-video/6938687645769990180?market_track_id=DMIQS879LMYA0HUM1WM8&amp;search_session_id=7506418399556698166&amp;video_type=2&amp;_route_from=from_page%3DMarket%26search_session_id%3D7506418399556698166%26is_for_order%3D1%26market_track_id%3DDMIQS879LMYA0HUM1WM8%26platform_source%3D1%26key%3D%25E6%25B3%25BD%25E9%2599%25BD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6" r:id="rId105" display="https://www.xingtu.cn/ad/creator/author-homepage/douyin-video/6783864693632008200?market_track_id=DX2XFJA2VHND2WDXVECP&amp;search_session_id=7506418399556894774&amp;video_type=2&amp;_route_from=from_page%3DMarket%26search_session_id%3D7506418399556894774%26is_for_order%3D1%26market_track_id%3DDX2XFJA2VHND2WDXVECP%26platform_source%3D1%26key%3DCn%2B%25E8%2584%25B8%25E6%2589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7" r:id="rId106" display="https://www.xingtu.cn/ad/creator/author-homepage/douyin-video/6910389796934254599?market_track_id=ZAKP6TWX3Z0B093LXPGP&amp;search_session_id=7506415352033706038&amp;video_type=2&amp;_route_from=from_page%3DMarket%26search_session_id%3D7506415352033706038%26is_for_order%3D1%26market_track_id%3DZAKP6TWX3Z0B093LXPGP%26platform_source%3D1%26key%3D%25E9%25B9%25BF%25E9%2587%258C%25E7%259C%259F%25E8%258C%2597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I38" r:id="rId107" display="https://www.xingtu.cn/ad/creator/author-homepage/douyin-video/7260488513212710970?market_track_id=3V43JEXVIF8XB9KJH909&amp;search_session_id=7506416010629988393&amp;video_type=2&amp;_route_from=from_page%3DMarket%26search_session_id%3D7506416010629988393%26is_for_order%3D1%26market_track_id%3D3V43JEXVIF8XB9KJH909%26platform_source%3D1%26key%3D%25E5%25B0%258F%25E5%25B9%25B4N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0" r:id="rId108" display="https://www.xingtu.cn/ad/creator/author-homepage/douyin-video/6906468704179978253?market_track_id=PF8ZCBKZ0WM963G1RPPE&amp;search_session_id=7506418652669968420&amp;video_type=2&amp;_route_from=from_page%3DMarket%26search_session_id%3D7506418652669968420%26is_for_order%3D1%26market_track_id%3DPF8ZCBKZ0WM963G1RPPE%26platform_source%3D1%26key%3D%25E8%2581%25AA%25E4%25BB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1" r:id="rId109" display="https://www.xingtu.cn/ad/creator/author-homepage/douyin-video/6846195326383030286?market_track_id=FOAXG3JNKY28QCQJUMNJ&amp;search_session_id=7506419512900763660&amp;video_type=2&amp;_route_from=from_page%3DMarket%26search_session_id%3D7506419512900763660%26is_for_order%3D1%26market_track_id%3DFOAXG3JNKY28QCQJUMNJ%26platform_source%3D1%26key%3D%25E8%25BF%259E%25E8%259C%259C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3" r:id="rId110" display="https://www.xingtu.cn/ad/creator/author-homepage/douyin-video/7317865186126217267?market_track_id=LVJ7WBPBL8XAZ4H9W002&amp;search_session_id=7506418818525331467&amp;video_type=2&amp;_route_from=from_page%3DMarket%26search_session_id%3D7506418818525331467%26is_for_order%3D1%26market_track_id%3DLVJ7WBPBL8XAZ4H9W002%26platform_source%3D1%26key%3D%25E5%2591%25A8%25E6%2598%259F%25E8%25BE%25B0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5" r:id="rId111" display="https://www.xingtu.cn/ad/creator/author-homepage/douyin-video/6678504237074219021?market_track_id=D13CLSKP8FWFDVFPETW1&amp;search_session_id=7506418842764115980&amp;video_type=2&amp;_route_from=from_page%3DMarket%26search_session_id%3D7506418842764115980%26is_for_order%3D1%26market_track_id%3DD13CLSKP8FWFDVFPETW1%26platform_source%3D1%26key%3D%25E6%25AF%2594%25E6%25A0%25BC%25E8%25B4%25B9%25E8%25A5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7" r:id="rId112" display="https://www.xingtu.cn/ad/creator/author-homepage/douyin-video/6629659903533252612?market_track_id=49QF5IG7N77EGGQ6BGXL&amp;search_session_id=7506428888890212371&amp;video_type=2&amp;_route_from=from_page%3DMarket%26search_session_id%3D7506428888890212371%26is_for_order%3D1%26market_track_id%3D49QF5IG7N77EGGQ6BGXL%26platform_source%3D1%26key%3D%25E5%25A4%25A7%25E4%25BD%25AC%25E7%2594%259CGiovann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8" r:id="rId113" display="https://www.xingtu.cn/ad/creator/author-homepage/douyin-video/6734527767246798860?market_track_id=WKVXPSL4IKRQJNQ4NM5M&amp;search_session_id=7506429136802496531&amp;video_type=2&amp;_route_from=from_page%3DMarket%26search_session_id%3D7506429136802496531%26is_for_order%3D1%26market_track_id%3DWKVXPSL4IKRQJNQ4NM5M%26platform_source%3D1%26key%3D%25E9%259B%25AA%25E8%2595%258A%25E5%2591%2580%25EF%25BC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9" r:id="rId114" display="https://www.xingtu.cn/ad/creator/author-homepage/douyin-video/6596679555342139396?market_track_id=BT0EEIGVJVDIVEW41ZGX&amp;search_session_id=7506429136803135507&amp;video_type=2&amp;_route_from=from_page%3DMarket%26search_session_id%3D7506429136803135507%26is_for_order%3D1%26market_track_id%3DBT0EEIGVJVDIVEW41ZGX%26platform_source%3D1%26key%3D%25E7%258E%258B%25E6%2583%2585%25E6%25B0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0" r:id="rId115" display="https://www.xingtu.cn/ad/creator/author-homepage/douyin-video/6763253245738483715?market_track_id=C0I7KHGF451531MIIVWW&amp;search_session_id=7506416851413450764&amp;video_type=2&amp;_route_from=from_page%3DMarket%26search_session_id%3D7506416851413450764%26is_for_order%3D1%26market_track_id%3DC0I7KHGF451531MIIVWW%26platform_source%3D1%26key%3D%25E8%25B1%259A%25E8%25B1%259A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1" r:id="rId116" display="https://www.xingtu.cn/ad/creator/author-homepage/douyin-video/6918092611571941389?market_track_id=O3DRWQMXZTJK4BBZ0EKJ&amp;search_session_id=7506429452747112460&amp;video_type=2&amp;_route_from=from_page%3DMarket%26search_session_id%3D7506429452747112460%26is_for_order%3D1%26market_track_id%3DO3DRWQMXZTJK4BBZ0EKJ%26platform_source%3D1%26key%3D%25E6%25A2%25A6%25E8%25BD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2" r:id="rId117" display="https://www.xingtu.cn/ad/creator/author-homepage/douyin-video/6791920181795880967?market_track_id=IM3U27N5TPWIQ7CVV1N0&amp;search_session_id=7506429437123608587&amp;video_type=2&amp;_route_from=from_page%3DMarket%26search_session_id%3D7506429437123608587%26is_for_order%3D1%26market_track_id%3DIM3U27N5TPWIQ7CVV1N0%26platform_source%3D1%26key%3D%25E6%2598%25AF%25E8%2585%25BF%25E8%2585%25BF%25E8%2580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3" r:id="rId118" display="https://www.xingtu.cn/ad/creator/author-homepage/douyin-video/6942543953501618190?market_track_id=QX6ICE89U286JW02WLSZ&amp;search_session_id=7506429594061242407&amp;video_type=2&amp;_route_from=from_page%3DMarket%26search_session_id%3D7506429594061242407%26is_for_order%3D1%26market_track_id%3DQX6ICE89U286JW02WLSZ%26platform_source%3D1%26key%3D%25E4%25BF%259D%25E7%2590%25B3%25E7%2590%2583%25E6%259C%2589%25E7%2582%25B9%25E8%2583%259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4" r:id="rId119" display="https://www.xingtu.cn/ad/creator/author-homepage/douyin-video/6739747258457128971?market_track_id=MA29RSFT2LORMYQL3DH8&amp;search_session_id=7506429664668434473&amp;video_type=2&amp;_route_from=from_page%3DMarket%26search_session_id%3D7506429664668434473%26is_for_order%3D1%26market_track_id%3DMA29RSFT2LORMYQL3DH8%26platform_source%3D1%26key%3D%25E4%25B8%258D%25E7%259F%25A5%25E5%2590%258D%25E7%25BD%2591%25E5%258F%258B%25E9%2585%25A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7" r:id="rId120" display="https://www.xingtu.cn/ad/creator/author-homepage/douyin-video/6900654571798921224?market_track_id=SVJQM7OP52GJJXKEGAQX&amp;search_session_id=7506429690123911187&amp;video_type=2&amp;_route_from=from_page%3DMarket%26search_session_id%3D7506429690123911187%26is_for_order%3D1%26market_track_id%3DSVJQM7OP52GJJXKEGAQX%26platform_source%3D1%26key%3D%25E4%25B9%259D%25E8%25A7%2585%25E5%259C%25A8%25E8%25BF%2599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3" r:id="rId121" display="https://www.xingtu.cn/ad/creator/author-homepage/douyin-video/6870170834816729101?market_track_id=SXJQ9HB0BYQ19L881TOF&amp;search_session_id=7506429719941808191&amp;video_type=2&amp;_route_from=from_page%3DMarket%26search_session_id%3D7506429719941808191%26is_for_order%3D1%26market_track_id%3DSXJQ9HB0BYQ19L881TOF%26platform_source%3D1%26key%3D%25E5%258C%2597%25E9%25BC%25BB%25E5%25B0%258F%25E5%25A4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9" r:id="rId122" display="https://www.xingtu.cn/ad/creator/author-homepage/douyin-video/6870162821561204743?market_track_id=KL6TLOM9QJ0UCP1XH4IE&amp;search_session_id=7506430103665426443&amp;video_type=2&amp;_route_from=from_page%3DMarket%26search_session_id%3D7506430103665426443%26is_for_order%3D1%26market_track_id%3DKL6TLOM9QJ0UCP1XH4IE%26platform_source%3D1%26key%3D%25E4%25B8%2580%25E8%2588%25A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0" r:id="rId123" display="https://www.xingtu.cn/ad/creator/author-homepage/douyin-video/6870166999796809741?market_track_id=P73HQ4QJ099QMC8KICTS&amp;search_session_id=7506430366560682038&amp;video_type=2&amp;_route_from=from_page%3DMarket%26search_session_id%3D7506430366560682038%26is_for_order%3D1%26market_track_id%3DP73HQ4QJ099QMC8KICTS%26platform_source%3D1%26key%3D%25E8%258E%25AB%25E5%25BE%2597%25E6%2584%259F%25E6%2583%2585%25E7%259A%2584%25E5%25B0%258F%25E8%2591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1" r:id="rId124" display="https://www.xingtu.cn/ad/creator/author-homepage/douyin-video/6611303266019966990?market_track_id=YZBLXF6ASWYQTM5LXYSG&amp;search_session_id=7506430525411033127&amp;video_type=2&amp;_route_from=from_page%3DMarket%26search_session_id%3D7506430525411033127%26is_for_order%3D1%26market_track_id%3DYZBLXF6ASWYQTM5LXYSG%26platform_source%3D1%26key%3D%25E5%25B0%258F%25E5%259B%259B%25E5%259B%259B%25F0%259F%258D%259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2" r:id="rId125" display="https://www.xingtu.cn/ad/creator/author-homepage/douyin-video/6870162722948907021?market_track_id=HX3UZTZFFZ2VYM5FWXQU&amp;search_session_id=7506430716956622889&amp;video_type=2&amp;_route_from=from_page%3DMarket%26search_session_id%3D7506430716956622889%26is_for_order%3D1%26market_track_id%3DHX3UZTZFFZ2VYM5FWXQU%26platform_source%3D1%26key%3D%25E6%259C%25A8%2B%25E6%259C%25A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3" r:id="rId126" display="https://www.xingtu.cn/ad/creator/author-homepage/douyin-video/6870161289092530183?market_track_id=QPV4PC1JHVHA8GSUK8Z0&amp;search_session_id=7506430889400893459&amp;video_type=2&amp;_route_from=from_page%3DMarket%26search_session_id%3D7506430889400893459%26is_for_order%3D1%26market_track_id%3DQPV4PC1JHVHA8GSUK8Z0%26platform_source%3D1%26key%3D%25E6%2595%25A2%25E6%2595%25A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4" r:id="rId127" display="https://www.xingtu.cn/ad/creator/author-homepage/douyin-video/7488959372198936602?market_track_id=VWMFFQNDTW0BCBDHKNN4&amp;search_session_id=7506431099029028876&amp;video_type=2&amp;_route_from=from_page%3DMarket%26search_session_id%3D7506431099029028876%26is_for_order%3D1%26market_track_id%3DVWMFFQNDTW0BCBDHKNN4%26platform_source%3D1%26key%3D%25E5%25B0%258F%25E8%2592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5" r:id="rId128" display="https://www.xingtu.cn/ad/creator/author-homepage/douyin-video/6870159990577954824?market_track_id=T8BAMZBOBD6Z18OE3R93&amp;search_session_id=7506431138102444051&amp;video_type=2&amp;_route_from=from_page%3DMarket%26search_session_id%3D7506431138102444051%26is_for_order%3D1%26market_track_id%3DT8BAMZBOBD6Z18OE3R93%26platform_source%3D1%26key%3D%25E5%25A6%258D%25E7%2594%2584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7" r:id="rId129" display="https://www.xingtu.cn/ad/creator/author-homepage/douyin-video/7060481079546740749?market_track_id=2WEXY9CC3S5R884QCM1F&amp;search_session_id=7506420928160284711&amp;video_type=2&amp;_route_from=from_page%3DMarket%26search_session_id%3D7506420928160284711%26is_for_order%3D1%26market_track_id%3D2WEXY9CC3S5R884QCM1F%26platform_source%3D1%26key%3D%25E9%2587%2591%25E9%2599%25B5%25E5%25A5%2587%25E6%2580%25AA%25E7%259A%2584%25E7%2583%25A7%25E9%25A5%25B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8" r:id="rId130" display="https://www.xingtu.cn/ad/creator/author-homepage/douyin-video/6629660072450457603?market_track_id=JME3Y2ESKQDD9EPJYTQN&amp;search_session_id=7506420419478552587&amp;video_type=2&amp;_route_from=from_page%3DMarket%26search_session_id%3D7506420419478552587%26is_for_order%3D1%26market_track_id%3DJME3Y2ESKQDD9EPJYTQN%26platform_source%3D1%26key%3D%25E5%25BC%25A0%25E4%25BB%2580%25E4%25BB%258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9" r:id="rId131" display="https://www.xingtu.cn/ad/creator/author-homepage/douyin-video/7180709870071447609?market_track_id=PIEB08Z2JMFWPHSRFLIW&amp;search_session_id=7506421047202578443&amp;video_type=2&amp;_route_from=from_page%3DMarket%26search_session_id%3D7506421047202578443%26is_for_order%3D1%26market_track_id%3DPIEB08Z2JMFWPHSRFLIW%26platform_source%3D1%26key%3D%25E5%25BC%25A0%25E8%258B%25A5%25E5%25A5%25B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1" r:id="rId132" display="https://www.xingtu.cn/ad/creator/author-homepage/douyin-video/6765376911481765895?market_track_id=1KKSMRVM7CQC1GZEHIJS&amp;search_session_id=7506421245673291830&amp;video_type=2&amp;_route_from=from_page%3DMarket%26search_session_id%3D7506421245673291830%26is_for_order%3D1%26market_track_id%3D1KKSMRVM7CQC1GZEHIJS%26platform_source%3D1%26key%3D%25E6%2588%2591%25E6%2598%25AF%25E5%25B0%258F%25E7%25A8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4" r:id="rId133" display="https://www.xingtu.cn/ad/creator/author-homepage/douyin-video/6818363824530259981?market_track_id=GAK8PLETEK3HVV75L1IZ&amp;search_session_id=7506421950762696715&amp;video_type=2&amp;_route_from=from_page%3DMarket%26search_session_id%3D7506421950762696715%26is_for_order%3D1%26market_track_id%3DGAK8PLETEK3HVV75L1IZ%26platform_source%3D1%26key%3D%25E4%25BE%25AF%25E5%258D%259A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5" r:id="rId134" display="https://www.xingtu.cn/ad/creator/author-homepage/douyin-video/6843212354792980493?market_track_id=RG69PPQ1KDPGXJYV1UTS&amp;search_session_id=7506421678910603318&amp;video_type=2&amp;_route_from=from_page%3DMarket%26search_session_id%3D7506421678910603318%26is_for_order%3D1%26market_track_id%3DRG69PPQ1KDPGXJYV1UTS%26platform_source%3D1%26key%3D%25E4%25B9%259D%25E4%25B9%259D%25E6%2588%2591%25E5%2595%258A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6" r:id="rId135" display="https://www.xingtu.cn/ad/creator/author-homepage/douyin-video/6870160454354731015?market_track_id=2K9YKN4UJSJFEZ6K43DR&amp;search_session_id=7506423935655821353&amp;video_type=2&amp;_route_from=from_page%3DMarket%26search_session_id%3D7506423935655821353%26is_for_order%3D1%26market_track_id%3D2K9YKN4UJSJFEZ6K43DR%26platform_source%3D1%26key%3D%25E7%259B%2586%25E7%259B%2586Penny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7" r:id="rId136" display="https://www.xingtu.cn/ad/creator/author-homepage/douyin-video/6870159877965086734?market_track_id=4VLAYHOU7P7TO6W8HL99&amp;search_session_id=7506423946146332711&amp;video_type=2&amp;_route_from=from_page%3DMarket%26search_session_id%3D7506423946146332711%26is_for_order%3D1%26market_track_id%3D4VLAYHOU7P7TO6W8HL99%26platform_source%3D1%26key%3D%25E5%25B0%258F%25E8%2592%2599%25E5%258F%25A4%25E8%2585%25BE%25E5%25AE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8" r:id="rId137" display="https://www.xingtu.cn/ad/creator/author-homepage/douyin-video/7054120952338055205?market_track_id=FKDIAR06NAK77FX5SDBW&amp;search_session_id=7506424158482841612&amp;video_type=2&amp;_route_from=from_page%3DMarket%26search_session_id%3D7506424158482841612%26is_for_order%3D1%26market_track_id%3DFKDIAR06NAK77FX5SDBW%26platform_source%3D1%26key%3D%25E4%25B8%2580%25E6%25A0%25B9%25E8%2597%25A4%25E4%25B8%258A%25E4%25BA%2594%25E6%259C%25B5%25E8%258A%25B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9" r:id="rId138" display="https://www.xingtu.cn/ad/creator/author-homepage/douyin-video/7313479684807720997?market_track_id=ALH7D0J6JFUEFDK6KAID&amp;search_session_id=7506424265248751679&amp;video_type=2&amp;_route_from=from_page%3DMarket%26search_session_id%3D7506424265248751679%26is_for_order%3D1%26market_track_id%3DALH7D0J6JFUEFDK6KAID%26platform_source%3D1%26key%3D%25E4%25B8%2580%25E4%25B8%25AA%25E5%25B9%25BD%25E7%2581%25B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1" r:id="rId139" display="https://www.xingtu.cn/ad/creator/author-homepage/douyin-video/6602513255774552072?market_track_id=PTF8N8NPVNQT7WK3HW8Y&amp;search_session_id=7506424333159333907&amp;video_type=2&amp;_route_from=from_page%3DMarket%26search_session_id%3D7506424333159333907%26is_for_order%3D1%26market_track_id%3DPTF8N8NPVNQT7WK3HW8Y%26platform_source%3D1%26key%3D%25E4%25B8%2589%25E5%258D%2583%25E4%25BC%2581%25E9%25B9%258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2" r:id="rId140" display="https://www.xingtu.cn/ad/creator/author-homepage/douyin-video/6733529818639368206?market_track_id=WRTIL1B1HTNDE90QY48O&amp;search_session_id=7506424351446384681&amp;video_type=2&amp;_route_from=from_page%3DMarket%26search_session_id%3D7506424351446384681%26is_for_order%3D1%26market_track_id%3DWRTIL1B1HTNDE90QY48O%26platform_source%3D1%26key%3D%25E6%2599%25A8%25E6%2599%2593%25E4%25B9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3" r:id="rId141" display="https://www.xingtu.cn/ad/creator/author-homepage/douyin-video/6870164208189702152?market_track_id=GYOH9VBY438XLHVY0MNI&amp;search_session_id=7506424359243661351&amp;video_type=2&amp;_route_from=from_page%3DMarket%26search_session_id%3D7506424359243661351%26is_for_order%3D1%26market_track_id%3DGYOH9VBY438XLHVY0MNI%26platform_source%3D1%26key%3D%25E9%2598%25BF%25E7%2584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8" r:id="rId142" display="https://www.xingtu.cn/ad/creator/author-homepage/douyin-video/6805457493347549198?market_track_id=ABWG93TWKLXV69FMO8CQ&amp;search_session_id=7506424543515459638&amp;video_type=2&amp;_route_from=from_page%3DMarket%26search_session_id%3D7506424543515459638%26is_for_order%3D1%26market_track_id%3DABWG93TWKLXV69FMO8CQ%26platform_source%3D1%26key%3D%25E8%25B5%259B%25E7%25BD%2597%25E7%259A%2584%25E5%25AE%259D%25E8%25B4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4" r:id="rId143" display="https://www.xingtu.cn/ad/creator/author-homepage/douyin-video/6808450102416375815?market_track_id=DN5LLR9P9Q9B1MGJYRAO&amp;search_session_id=7506424596179763254&amp;video_type=2&amp;_route_from=from_page%3DMarket%26search_session_id%3D7506424596179763254%26is_for_order%3D1%26market_track_id%3DDN5LLR9P9Q9B1MGJYRAO%26platform_source%3D1%26key%3D%25E8%25B0%25A2%25E6%25BD%2587%25E7%25BE%25BDx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5" r:id="rId144" display="https://www.xingtu.cn/ad/creator/author-homepage/douyin-video/6870161001908535304?market_track_id=S836WFJCQGHOKPFU5EXZ&amp;search_session_id=7506424794557120551&amp;video_type=2&amp;_route_from=from_page%3DMarket%26search_session_id%3D7506424794557120551%26is_for_order%3D1%26market_track_id%3DS836WFJCQGHOKPFU5EXZ%26platform_source%3D1%26key%3D%25E4%25BD%25A0%25E7%259A%2584%25E6%259C%2580%25E4%25BD%25B3%25E7%2594%25B7%25E5%258F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7" r:id="rId145" display="https://www.xingtu.cn/ad/creator/author-homepage/douyin-video/6629665882937229325?market_track_id=ADFREOQU9K4XJ1E1ZMOD&amp;search_session_id=7506424794557890599&amp;video_type=2&amp;_route_from=from_page%3DMarket%26search_session_id%3D7506424794557890599%26is_for_order%3D1%26market_track_id%3DADFREOQU9K4XJ1E1ZMOD%26platform_source%3D1%26key%3D%25E5%258C%2597%25E6%2596%25B9%25E5%25A7%2591%25E5%25A8%2598%25EF%25BC%2588%25E7%25B3%2596%25E7%25B3%2596%25EF%25BC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9" r:id="rId146" display="https://www.xingtu.cn/ad/creator/author-homepage/douyin-video/6629661185576796164?market_track_id=E1N10QJIKJYZ2OX6B4WC&amp;search_session_id=7506425026556870695&amp;video_type=2&amp;_route_from=from_page%3DMarket%26search_session_id%3D7506425026556870695%26is_for_order%3D1%26market_track_id%3DE1N10QJIKJYZ2OX6B4WC%26platform_source%3D1%26key%3D%25E6%25A3%259A%25E6%25A3%259A%25E6%259C%25B1%25E5%258F%25A4%25E5%258A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" r:id="rId147" display="https://www.xingtu.cn/ad/creator/author-homepage/douyin-video/6834011991800021005?market_track_id=SR3ZC29RTTZ0ZEBUVE23&amp;search_session_id=7506425026557263911&amp;video_type=2&amp;_route_from=from_page%3DMarket%26search_session_id%3D7506425026557263911%26is_for_order%3D1%26market_track_id%3DSR3ZC29RTTZ0ZEBUVE23%26platform_source%3D1%26key%3D%25E5%25BE%2590%25E5%258D%2581%25E4%25B8%2583%25E5%2598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1" r:id="rId148" display="https://www.xingtu.cn/ad/creator/author-homepage/douyin-video/7092592304216604702?market_track_id=2IQYJW5H44K20LKAGDUO&amp;search_session_id=7506415622059081791&amp;video_type=2&amp;_route_from=from_page%3DMarket%26search_session_id%3D7506415622059081791%26is_for_order%3D1%26market_track_id%3D2IQYJW5H44K20LKAGDUO%26platform_source%3D1%26key%3D%25E7%25AE%25A1%25E5%25AE%25B6%25E5%25B0%258F%25E8%2591%259B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I92" r:id="rId149" display="https://www.xingtu.cn/ad/creator/author-homepage/douyin-video/6598044372904706056?market_track_id=LNH6XSBXKUYAUT0PYP8V&amp;search_session_id=7506424771753263140&amp;video_type=2&amp;_route_from=from_page%3DMarket%26search_session_id%3D7506424771753263140%26is_for_order%3D1%26market_track_id%3DLNH6XSBXKUYAUT0PYP8V%26platform_source%3D1%26key%3D%25E6%259A%25B4%25E8%25B5%25B0%25E8%2590%259D%25E8%258E%2589-%25E5%25B0%25A7%25E6%25B4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3" r:id="rId150" display="https://www.xingtu.cn/ad/creator/author-homepage/douyin-video/6793284681224683534?market_track_id=WYYKHUE391R399LR5PQC&amp;search_session_id=7506425929252306956&amp;video_type=2&amp;_route_from=from_page%3DMarket%26search_session_id%3D7506425929252306956%26is_for_order%3D1%26market_track_id%3DWYYKHUE391R399LR5PQC%26platform_source%3D1%26key%3D%25E6%25B4%259B%25E4%25B8%25BD%25E5%25A1%2594%25E5%25A4%25A7%25E5%2593%25A5lolit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4" r:id="rId151" display="https://www.xingtu.cn/ad/creator/author-homepage/douyin-video/7044187080850669604?market_track_id=VYH7JQYOIMA6S360E8HU&amp;search_session_id=7506427789810516004&amp;video_type=2&amp;_route_from=from_page%3DMarket%26search_session_id%3D7506427789810516004%26is_for_order%3D1%26market_track_id%3DVYH7JQYOIMA6S360E8HU%26platform_source%3D1%26key%3D%25E6%25B8%25A3%25E7%2594%25B7%25E9%2587%2591%25E4%25B9%2598%25E4%25BA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5" r:id="rId152" display="https://www.xingtu.cn/ad/creator/author-homepage/douyin-video/6813591753300377613?market_track_id=D1XV4JZ26VN8RR0N5HND&amp;search_session_id=7506427944303657014&amp;video_type=2&amp;_route_from=from_page%3DMarket%26search_session_id%3D7506427944303657014%26is_for_order%3D1%26market_track_id%3DD1XV4JZ26VN8RR0N5HND%26platform_source%3D1%26key%3D%25E5%25BD%25A6%25E5%2584%25BF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6" r:id="rId153" display="https://www.xingtu.cn/ad/creator/author-homepage/douyin-video/6985450122213588999?market_track_id=HAMOFE78QB1VJXO33CNW&amp;search_session_id=7506428100830363687&amp;video_type=2&amp;_route_from=from_page%3DMarket%26search_session_id%3D7506428100830363687%26is_for_order%3D1%26market_track_id%3DHAMOFE78QB1VJXO33CNW%26platform_source%3D1%26key%3D%25E5%25B0%258F%25E6%259E%2597%25E7%25B6%25A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7" r:id="rId154" display="https://www.xingtu.cn/ad/creator/author-homepage/douyin-video/6629127088207036430?market_track_id=HQ30STQYALVLETP50BBJ&amp;search_session_id=7506428133824708671&amp;video_type=2&amp;_route_from=from_page%3DMarket%26search_session_id%3D7506428133824708671%26is_for_order%3D1%26market_track_id%3DHQ30STQYALVLETP50BBJ%26platform_source%3D1%26key%3D%25E4%25BA%258C%25E5%2590%258C%25E5%2593%25A5%25E5%2593%25A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8" r:id="rId155" display="https://www.xingtu.cn/ad/creator/author-homepage/douyin-video/6846209317889114120?market_track_id=58IHQXH5X0IERITR1FXA&amp;search_session_id=7506428168321531915&amp;video_type=2&amp;_route_from=from_page%3DMarket%26search_session_id%3D7506428168321531915%26is_for_order%3D1%26market_track_id%3D58IHQXH5X0IERITR1FXA%26platform_source%3D1%26key%3D%25E5%2588%2598%25E8%25B4%25BA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9" r:id="rId156" display="https://www.xingtu.cn/ad/creator/author-homepage/douyin-video/6870167809498808333?market_track_id=5JHIEM8JD0YPO75OONSK&amp;search_session_id=7506428303101018153&amp;video_type=2&amp;_route_from=from_page%3DMarket%26search_session_id%3D7506428303101018153%26is_for_order%3D1%26market_track_id%3D5JHIEM8JD0YPO75OONSK%26platform_source%3D1%26key%3D%25E5%25B0%258F%25E7%25A8%258B%25E4%25B8%258D%25E6%2598%25AF%25E5%25B0%258F%25E9%2599%2588%25E4%25B9%259F%25E4%25B8%258D%25E6%2598%25AF%25E5%25B0%258F%25E6%2588%259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0" r:id="rId157" display="https://www.xingtu.cn/ad/creator/author-homepage/douyin-video/6870171420836495374?market_track_id=FKC7GUD0Z72EULREXC6X&amp;search_session_id=7506428463252570166&amp;video_type=2&amp;_route_from=from_page%3DMarket%26search_session_id%3D7506428463252570166%26is_for_order%3D1%26market_track_id%3DFKC7GUD0Z72EULREXC6X%26platform_source%3D1%26key%3D%25E6%2596%25AF%25E5%25A8%259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1" r:id="rId158" display="https://www.xingtu.cn/ad/creator/author-homepage/douyin-video/7179569792829882426?market_track_id=2FOXOWJPSJT5SZW6D330&amp;search_session_id=7506428934028836900&amp;video_type=2&amp;_route_from=from_page%3DMarket%26search_session_id%3D7506428934028836900%26is_for_order%3D1%26market_track_id%3D2FOXOWJPSJT5SZW6D330%26platform_source%3D1%26key%3D%25E5%25B0%258F%25E9%259B%25AA%25E6%2597%25A5%25E8%25AE%25B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3" r:id="rId159" display="https://www.xingtu.cn/ad/creator/author-homepage/douyin-video/6596679993906954254?market_track_id=RHX9N8IZ5BDH2B8GR5YR&amp;search_session_id=7506419773791240255&amp;video_type=2&amp;_route_from=from_page%3DMarket%26search_session_id%3D7506419773791240255%26is_for_order%3D1%26market_track_id%3DRHX9N8IZ5BDH2B8GR5YR%26platform_source%3D1%26key%3D%25E5%25A4%259A%25E5%258A%25A0%25E7%2582%25B9DuoD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5" r:id="rId160" display="https://www.xingtu.cn/ad/creator/author-homepage/douyin-video/7348369428595081226?market_track_id=XGEHLZ9CA9OLF261XFQT&amp;search_session_id=7506420067140108299&amp;video_type=2&amp;_route_from=from_page%3DMarket%26search_session_id%3D7506420067140108299%26is_for_order%3D1%26market_track_id%3DXGEHLZ9CA9OLF261XFQT%26platform_source%3D1%26key%3D%25E5%25BC%25A0%25E5%25A5%25BD%25E5%25A5%25BD%25E7%2588%25B1%25E5%2590%2583%25E9%25B1%25BC%25F0%259F%2590%25A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6" r:id="rId161" display="https://www.xingtu.cn/ad/creator/author-homepage/douyin-video/7129889869039403015?market_track_id=14V3MPWQNE99BRC2Y8PU&amp;search_session_id=7506420126619566091&amp;video_type=2&amp;_route_from=from_page%3DMarket%26search_session_id%3D7506420126619566091%26is_for_order%3D1%26market_track_id%3D14V3MPWQNE99BRC2Y8PU%26platform_source%3D1%26key%3D%25E8%258A%25B1%25E5%258D%2583%25E5%25B0%258F%25E9%25AA%25A8%25E2%2581%25B8%25C2%25B2%25C2%25B9%25F0%259F%2595%258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7" r:id="rId162" display="https://www.xingtu.cn/ad/creator/author-homepage/douyin-video/7301232242683019273?market_track_id=AX2QE06W2PAHS8LH1D0I&amp;search_session_id=7506420191522275339&amp;video_type=2&amp;_route_from=from_page%3DMarket%26search_session_id%3D7506420191522275339%26is_for_order%3D1%26market_track_id%3DAX2QE06W2PAHS8LH1D0I%26platform_source%3D1%26key%3D%25E5%25AE%259B%25E5%25BA%25A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8" r:id="rId163" display="https://www.xingtu.cn/ad/creator/author-homepage/douyin-video/7351730252281806858?market_track_id=Q8KVA6MSVYLYCDFMCC1Q&amp;search_session_id=7506420302496841769&amp;video_type=2&amp;_route_from=from_page%3DMarket%26search_session_id%3D7506420302496841769%26is_for_order%3D1%26market_track_id%3DQ8KVA6MSVYLYCDFMCC1Q%26platform_source%3D1%26key%3D%25E5%259B%259B%25E4%25B9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9" r:id="rId164" display="https://www.xingtu.cn/ad/creator/author-homepage/douyin-video/7090145395988234255?market_track_id=CXX0T8PZX6VKRWU7FPCC&amp;search_session_id=7506419877101191179&amp;video_type=2&amp;_route_from=from_page%3DMarket%26search_session_id%3D7506419877101191179%26is_for_order%3D1%26market_track_id%3DCXX0T8PZX6VKRWU7FPCC%26platform_source%3D1%26key%3D%25E7%25BB%25B4%25E5%25A6%25AE%25E5%2584%25BFDance%25F0%259F%2591%25A3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10" r:id="rId165" display="https://www.xingtu.cn/ad/creator/author-homepage/douyin-video/6763255021673906180?market_track_id=0K7127XRBJCSUN1J1ML6&amp;search_session_id=7506419638394306579&amp;video_type=2&amp;_route_from=from_page%3DMarket%26search_session_id%3D7506419638394306579%26is_for_order%3D1%26market_track_id%3D0K7127XRBJCSUN1J1ML6%26platform_source%3D1%26key%3D%25E6%25B8%2585%25E5%25A6%258D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H44" r:id="rId166" display="https://v.douyin.com/sAN6OJdtQJk/ 5@8.com"/>
    <hyperlink ref="I44" r:id="rId167" display="https://www.xingtu.cn/ad/creator/author-homepage/douyin-video/7199695122814992442?market_track_id=ZXBVBKFT569LO0GS36DM&amp;search_session_id=7514227812799512612&amp;video_type=2&amp;_route_from=from_page%3DMarket%26search_session_id%3D7514227812799512612%26is_for_order%3D1%26market_track_id%3DZXBVBKFT569LO0GS36DM%26platform_source%3D1%26key%3D%25E5%2590%258D%25E6%2591%2584%25E5%25BD%25B1%25E5%25B0%258F%25E6%2596%25B0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H90" r:id="rId168" display="https://v.douyin.com/SfXQxQL349E/ 7@4.com"/>
    <hyperlink ref="I90" r:id="rId169" display="https://www.xingtu.cn/ad/creator/author-homepage/douyin-video/6675972478684102659?market_track_id=8VVIMQRXFNYSWMG59N6B&amp;search_session_id=7516811288732237887&amp;possessStarId"/>
    <hyperlink ref="H30" r:id="rId170" display="https://v.douyin.com/NfM4H3xVgqI/ 0@0.com"/>
    <hyperlink ref="I30" r:id="rId171" display="https://www.xingtu.cn/ad/creator/author-homepage/douyin-video/6870160334506688526?market_track_id=ALUPYOHU2Q7WIQNY7CS6&amp;search_session_id=7529771916695224339&amp;possessStarId"/>
    <hyperlink ref="I5" r:id="rId172" display="https://www.xingtu.cn/ad/creator/author-homepage/douyin-video/7212165981076979770?market_track_id=C1YWJOJOH7GWYM2BJIBX&amp;search_session_id=7532374389598191658&amp;possessStarId"/>
    <hyperlink ref="H5" r:id="rId173" display="https://v.douyin.com/Y_T6k4YZ1jA/"/>
    <hyperlink ref="H72" r:id="rId174" display="https://v.douyin.com/9AFkA0NTkFQ/"/>
    <hyperlink ref="I72" r:id="rId175" display="https://www.xingtu.cn/ad/creator/author-homepage/douyin-video/6629722298792280068?market_track_id=ALE4EJ3WE9UOCFVX4NC4&amp;search_session_id=7532380290833645604&amp;possessStarId"/>
    <hyperlink ref="H4" r:id="rId176" display="https://v.douyin.com/em3sFvS6LMA/"/>
    <hyperlink ref="I4" r:id="rId177" display="https://www.xingtu.cn/ad/creator/author-homepage/douyin-video/6870112225344880653?market_track_id=MR61YKQACBEHR44TKR7E&amp;search_session_id=7533159252346241078&amp;possessStarId"/>
    <hyperlink ref="H58" r:id="rId178" display="https://v.douyin.com/l9yMFgFF4Ic/"/>
    <hyperlink ref="I58" r:id="rId179" display="https://www.xingtu.cn/ad/creator/author-homepage/douyin-video/7218220304135356471?market_track_id=T1HSWBAEXMH98GSH6MPV&amp;search_session_id=7550226290448875556&amp;possessStarId" tooltip="https://www.xingtu.cn/ad/creator/author-homepage/douyin-video/7218220304135356471?market_track_id=T1HSWBAEXMH98GSH6MPV&amp;search_session_id=7550226290448875556&amp;possessStarId"/>
    <hyperlink ref="H31" r:id="rId180" display="https://v.douyin.com/YVnZ2nB_6tQ/ 9@0.com"/>
    <hyperlink ref="I31" r:id="rId181" display="https://www.xingtu.cn/ad/creator/author-homepage/douyin-video/6729824086039461891?market_track_id=MR96FF0YLNLMW3T5JZGY&amp;search_session_id=7506415498557505577&amp;video_type=2&amp;_route_from=from_page%3DMarket%26search_session_id%3D7506415498557505577%26is_for_order%3D1%26market_track_id%3DMR96FF0YLNLMW3T5JZGY%26platform_source%3D1%26key%3D%25E7%259A%25AE%25E5%258D%25A1%25E7%2599%25BD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H42" r:id="rId182" display="https://v.douyin.com/8X9N7CXaq1E/"/>
    <hyperlink ref="I42" r:id="rId183" display="https://www.xingtu.cn/ad/creator/author-homepage/douyin-video/7187348189282828322?market_track_id=R423INSAAL9SF4RUDHTZ&amp;search_session_id=7553117274304331812&amp;possessStarId"/>
    <hyperlink ref="H56" r:id="rId184" display="https://v.douyin.com/eNCSeHH/"/>
    <hyperlink ref="I56" r:id="rId185" display="https://www.xingtu.cn/ad/creator/author-homepage/douyin-video/6870160411379892231?market_track_id=Q5M20T2PEK2M1R5YASOU&amp;search_session_id=7550219414239985705&amp;possessStarId" tooltip="https://www.xingtu.cn/ad/creator/author-homepage/douyin-video/6870160411379892231?market_track_id=Q5M20T2PEK2M1R5YASOU&amp;search_session_id=7550219414239985705&amp;possessStarId"/>
    <hyperlink ref="H18" r:id="rId186" display="https://v.douyin.com/eXcXMuA/"/>
    <hyperlink ref="H17" r:id="rId187" display="https://v.douyin.com/FmolR1KJook/"/>
    <hyperlink ref="I17" r:id="rId188" display="https://www.xingtu.cn/ad/creator/author-homepage/douyin-video/6859218264526962702?market_track_id=ESWOJZ4LL2IDD4QEYDFT&amp;search_session_id=7550213757390864438&amp;possessStarId"/>
    <hyperlink ref="I18" r:id="rId189" display="https://www.xingtu.cn/ad/creator/author-homepage/douyin-video/6977280720922214431?market_track_id=UG67XTJXH7NXPKDVOMTP&amp;search_session_id=7550213941088239658&amp;possessStarId"/>
    <hyperlink ref="I55" r:id="rId190" display="https://www.xingtu.cn/ad/creator/author-homepage/douyin-video/6950547741772611621?market_track_id=TNBIOM0X2B5CFEY1M52H&amp;search_session_id=7555809283087810599&amp;possessStarId"/>
    <hyperlink ref="H55" r:id="rId191" display="https://v.douyin.com/EYsYmOl35_o/"/>
  </hyperlink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4"/>
  </sheetPr>
  <dimension ref="A1:O38"/>
  <sheetViews>
    <sheetView workbookViewId="0">
      <pane xSplit="4" ySplit="2" topLeftCell="F8" activePane="bottomRight" state="frozen"/>
      <selection/>
      <selection pane="topRight"/>
      <selection pane="bottomLeft"/>
      <selection pane="bottomRight" activeCell="D33" sqref="D33"/>
    </sheetView>
  </sheetViews>
  <sheetFormatPr defaultColWidth="9.81666666666667" defaultRowHeight="13.5"/>
  <cols>
    <col min="1" max="1" width="9.64166666666667" style="1"/>
    <col min="2" max="2" width="5.625" style="28" customWidth="1"/>
    <col min="3" max="3" width="7.625" style="28" customWidth="1"/>
    <col min="4" max="4" width="15.7583333333333" style="152" customWidth="1"/>
    <col min="5" max="5" width="30.3916666666667" style="28" customWidth="1"/>
    <col min="6" max="6" width="14.5583333333333" style="28" customWidth="1"/>
    <col min="7" max="7" width="11.8916666666667" style="28" customWidth="1"/>
    <col min="8" max="8" width="30.4583333333333" style="28" customWidth="1"/>
    <col min="9" max="9" width="8.625" style="28" customWidth="1"/>
    <col min="10" max="10" width="9.625" style="28" customWidth="1"/>
    <col min="11" max="13" width="13.775" style="28" customWidth="1"/>
    <col min="14" max="14" width="34.4583333333333" style="153" customWidth="1"/>
    <col min="15" max="15" width="5.44166666666667" style="28" customWidth="1"/>
    <col min="16" max="16382" width="9.64166666666667" style="1"/>
    <col min="16383" max="16384" width="9.81666666666667" style="1"/>
  </cols>
  <sheetData>
    <row r="1" s="1" customFormat="1" ht="70" customHeight="1" spans="1:15">
      <c r="A1" s="154" t="s">
        <v>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="2" customFormat="1" ht="30" customHeight="1" spans="1:15">
      <c r="A2" s="155" t="s">
        <v>1057</v>
      </c>
      <c r="B2" s="155" t="s">
        <v>7</v>
      </c>
      <c r="C2" s="155" t="s">
        <v>9</v>
      </c>
      <c r="D2" s="155" t="s">
        <v>10</v>
      </c>
      <c r="E2" s="155" t="s">
        <v>1058</v>
      </c>
      <c r="F2" s="155" t="s">
        <v>12</v>
      </c>
      <c r="G2" s="155" t="s">
        <v>1059</v>
      </c>
      <c r="H2" s="21" t="s">
        <v>14</v>
      </c>
      <c r="I2" s="21" t="s">
        <v>1060</v>
      </c>
      <c r="J2" s="21" t="s">
        <v>18</v>
      </c>
      <c r="K2" s="21" t="s">
        <v>20</v>
      </c>
      <c r="L2" s="21" t="s">
        <v>21</v>
      </c>
      <c r="M2" s="21" t="s">
        <v>22</v>
      </c>
      <c r="N2" s="162" t="s">
        <v>1061</v>
      </c>
      <c r="O2" s="155" t="s">
        <v>30</v>
      </c>
    </row>
    <row r="3" s="1" customFormat="1" ht="40" customHeight="1" spans="1:15">
      <c r="A3" s="32" t="s">
        <v>1062</v>
      </c>
      <c r="B3" s="48">
        <v>1</v>
      </c>
      <c r="C3" s="33" t="str">
        <f>_xlfn.DISPIMG("ID_B834CA9A2438445EADFD937FC78AAE9F",1)</f>
        <v>=DISPIMG("ID_B834CA9A2438445EADFD937FC78AAE9F",1)</v>
      </c>
      <c r="D3" s="32" t="s">
        <v>1063</v>
      </c>
      <c r="E3" s="48" t="s">
        <v>1064</v>
      </c>
      <c r="F3" s="32" t="s">
        <v>1065</v>
      </c>
      <c r="G3" s="32" t="s">
        <v>1066</v>
      </c>
      <c r="H3" s="156" t="s">
        <v>1067</v>
      </c>
      <c r="I3" s="156">
        <v>619.4</v>
      </c>
      <c r="J3" s="57">
        <v>380.6</v>
      </c>
      <c r="K3" s="65">
        <v>150000</v>
      </c>
      <c r="L3" s="65">
        <v>180000</v>
      </c>
      <c r="M3" s="65">
        <v>200000</v>
      </c>
      <c r="N3" s="48" t="s">
        <v>1068</v>
      </c>
      <c r="O3" s="32" t="s">
        <v>1069</v>
      </c>
    </row>
    <row r="4" s="1" customFormat="1" ht="40" customHeight="1" spans="1:15">
      <c r="A4" s="37" t="s">
        <v>1070</v>
      </c>
      <c r="B4" s="49">
        <v>2</v>
      </c>
      <c r="C4" s="38" t="str">
        <f>_xlfn.DISPIMG("ID_A592B5B46E5A4341A937717FE87C8E02",1)</f>
        <v>=DISPIMG("ID_A592B5B46E5A4341A937717FE87C8E02",1)</v>
      </c>
      <c r="D4" s="37" t="s">
        <v>1071</v>
      </c>
      <c r="E4" s="49" t="s">
        <v>1072</v>
      </c>
      <c r="F4" s="37" t="s">
        <v>1073</v>
      </c>
      <c r="G4" s="157" t="s">
        <v>538</v>
      </c>
      <c r="H4" s="37" t="s">
        <v>1074</v>
      </c>
      <c r="I4" s="37">
        <v>1667.1</v>
      </c>
      <c r="J4" s="59">
        <v>503.7</v>
      </c>
      <c r="K4" s="163">
        <v>200000</v>
      </c>
      <c r="L4" s="163">
        <v>250000</v>
      </c>
      <c r="M4" s="164">
        <v>300000</v>
      </c>
      <c r="N4" s="49" t="s">
        <v>1075</v>
      </c>
      <c r="O4" s="37" t="s">
        <v>43</v>
      </c>
    </row>
    <row r="5" s="1" customFormat="1" ht="40" customHeight="1" spans="1:15">
      <c r="A5" s="32" t="s">
        <v>1070</v>
      </c>
      <c r="B5" s="48">
        <v>3</v>
      </c>
      <c r="C5" s="33" t="str">
        <f>_xlfn.DISPIMG("ID_AD37E208650B4CCEB253B1CCAB9E04EA",1)</f>
        <v>=DISPIMG("ID_AD37E208650B4CCEB253B1CCAB9E04EA",1)</v>
      </c>
      <c r="D5" s="32" t="s">
        <v>1076</v>
      </c>
      <c r="E5" s="48" t="s">
        <v>1077</v>
      </c>
      <c r="F5" s="32" t="s">
        <v>1078</v>
      </c>
      <c r="G5" s="32" t="s">
        <v>1079</v>
      </c>
      <c r="H5" s="32" t="s">
        <v>1080</v>
      </c>
      <c r="I5" s="32">
        <v>272.2</v>
      </c>
      <c r="J5" s="57">
        <v>93</v>
      </c>
      <c r="K5" s="165">
        <v>99800</v>
      </c>
      <c r="L5" s="165">
        <v>120000</v>
      </c>
      <c r="M5" s="165">
        <v>150000</v>
      </c>
      <c r="N5" s="48" t="s">
        <v>39</v>
      </c>
      <c r="O5" s="32" t="s">
        <v>1081</v>
      </c>
    </row>
    <row r="6" s="1" customFormat="1" ht="40" customHeight="1" spans="1:15">
      <c r="A6" s="37" t="s">
        <v>1070</v>
      </c>
      <c r="B6" s="49">
        <v>4</v>
      </c>
      <c r="C6" s="37" t="str">
        <f>_xlfn.DISPIMG("ID_0DC8C4949D3E409B87AEA9AB3791B26D",1)</f>
        <v>=DISPIMG("ID_0DC8C4949D3E409B87AEA9AB3791B26D",1)</v>
      </c>
      <c r="D6" s="37" t="s">
        <v>1082</v>
      </c>
      <c r="E6" s="49" t="s">
        <v>1083</v>
      </c>
      <c r="F6" s="37">
        <v>31758870</v>
      </c>
      <c r="G6" s="37" t="s">
        <v>538</v>
      </c>
      <c r="H6" s="37" t="s">
        <v>1084</v>
      </c>
      <c r="I6" s="37">
        <v>240.7</v>
      </c>
      <c r="J6" s="59">
        <v>247.8</v>
      </c>
      <c r="K6" s="163">
        <v>35000</v>
      </c>
      <c r="L6" s="163">
        <v>38000</v>
      </c>
      <c r="M6" s="163">
        <v>42000</v>
      </c>
      <c r="N6" s="49" t="s">
        <v>1085</v>
      </c>
      <c r="O6" s="37" t="s">
        <v>43</v>
      </c>
    </row>
    <row r="7" s="1" customFormat="1" ht="40" customHeight="1" spans="1:15">
      <c r="A7" s="32" t="s">
        <v>1086</v>
      </c>
      <c r="B7" s="48">
        <v>5</v>
      </c>
      <c r="C7" s="33" t="str">
        <f>_xlfn.DISPIMG("ID_B63F0D4E47FD4237923B412788D91114",1)</f>
        <v>=DISPIMG("ID_B63F0D4E47FD4237923B412788D91114",1)</v>
      </c>
      <c r="D7" s="32" t="s">
        <v>1087</v>
      </c>
      <c r="E7" s="48" t="s">
        <v>1088</v>
      </c>
      <c r="F7" s="32" t="s">
        <v>1089</v>
      </c>
      <c r="G7" s="32" t="s">
        <v>1086</v>
      </c>
      <c r="H7" s="32" t="s">
        <v>1090</v>
      </c>
      <c r="I7" s="32">
        <v>549.5</v>
      </c>
      <c r="J7" s="57">
        <v>22.7</v>
      </c>
      <c r="K7" s="165">
        <v>27450</v>
      </c>
      <c r="L7" s="165">
        <v>45000</v>
      </c>
      <c r="M7" s="165">
        <v>60000</v>
      </c>
      <c r="N7" s="48" t="s">
        <v>1091</v>
      </c>
      <c r="O7" s="32" t="s">
        <v>354</v>
      </c>
    </row>
    <row r="8" s="1" customFormat="1" ht="40" customHeight="1" spans="1:15">
      <c r="A8" s="37" t="s">
        <v>1086</v>
      </c>
      <c r="B8" s="49">
        <v>6</v>
      </c>
      <c r="C8" s="38" t="str">
        <f>_xlfn.DISPIMG("ID_09555191A04C47CE80C8671C51A1789E",1)</f>
        <v>=DISPIMG("ID_09555191A04C47CE80C8671C51A1789E",1)</v>
      </c>
      <c r="D8" s="37" t="s">
        <v>1092</v>
      </c>
      <c r="E8" s="49" t="s">
        <v>1093</v>
      </c>
      <c r="F8" s="37" t="s">
        <v>1094</v>
      </c>
      <c r="G8" s="37" t="s">
        <v>1086</v>
      </c>
      <c r="H8" s="37" t="s">
        <v>1095</v>
      </c>
      <c r="I8" s="37">
        <v>60.3</v>
      </c>
      <c r="J8" s="59">
        <v>138.8</v>
      </c>
      <c r="K8" s="163">
        <v>11800</v>
      </c>
      <c r="L8" s="163">
        <v>15800</v>
      </c>
      <c r="M8" s="163">
        <v>19800</v>
      </c>
      <c r="N8" s="49" t="s">
        <v>1096</v>
      </c>
      <c r="O8" s="37" t="s">
        <v>203</v>
      </c>
    </row>
    <row r="9" s="1" customFormat="1" ht="40" customHeight="1" spans="1:15">
      <c r="A9" s="34" t="s">
        <v>1097</v>
      </c>
      <c r="B9" s="34">
        <v>7</v>
      </c>
      <c r="C9" s="34" t="str">
        <f>_xlfn.DISPIMG("ID_BF25C8DEAD444832BC4991F24EC25453",1)</f>
        <v>=DISPIMG("ID_BF25C8DEAD444832BC4991F24EC25453",1)</v>
      </c>
      <c r="D9" s="34" t="s">
        <v>1098</v>
      </c>
      <c r="E9" s="48" t="s">
        <v>1099</v>
      </c>
      <c r="F9" s="48" t="s">
        <v>1100</v>
      </c>
      <c r="G9" s="48" t="s">
        <v>1101</v>
      </c>
      <c r="H9" s="48" t="s">
        <v>1102</v>
      </c>
      <c r="I9" s="121">
        <v>56.7</v>
      </c>
      <c r="J9" s="166">
        <v>18.9</v>
      </c>
      <c r="K9" s="165">
        <v>40000</v>
      </c>
      <c r="L9" s="165">
        <v>45000</v>
      </c>
      <c r="M9" s="165">
        <v>48000</v>
      </c>
      <c r="N9" s="48" t="s">
        <v>1103</v>
      </c>
      <c r="O9" s="48" t="s">
        <v>43</v>
      </c>
    </row>
    <row r="10" s="1" customFormat="1" ht="40" customHeight="1" spans="1:15">
      <c r="A10" s="37" t="s">
        <v>1104</v>
      </c>
      <c r="B10" s="49">
        <v>9</v>
      </c>
      <c r="C10" s="38" t="str">
        <f>_xlfn.DISPIMG("ID_0BFE4C35106346258B08A377C582C11E",1)</f>
        <v>=DISPIMG("ID_0BFE4C35106346258B08A377C582C11E",1)</v>
      </c>
      <c r="D10" s="37" t="s">
        <v>1105</v>
      </c>
      <c r="E10" s="49" t="s">
        <v>1106</v>
      </c>
      <c r="F10" s="37" t="s">
        <v>1107</v>
      </c>
      <c r="G10" s="37" t="s">
        <v>1108</v>
      </c>
      <c r="H10" s="37" t="s">
        <v>1109</v>
      </c>
      <c r="I10" s="37">
        <v>506.9</v>
      </c>
      <c r="J10" s="59">
        <v>249.4</v>
      </c>
      <c r="K10" s="163">
        <v>34000</v>
      </c>
      <c r="L10" s="163">
        <v>39000</v>
      </c>
      <c r="M10" s="163">
        <v>43000</v>
      </c>
      <c r="N10" s="49" t="s">
        <v>1110</v>
      </c>
      <c r="O10" s="37" t="s">
        <v>1111</v>
      </c>
    </row>
    <row r="11" s="1" customFormat="1" ht="40" customHeight="1" spans="1:15">
      <c r="A11" s="34" t="s">
        <v>1112</v>
      </c>
      <c r="B11" s="34">
        <v>10</v>
      </c>
      <c r="C11" s="34" t="str">
        <f>_xlfn.DISPIMG("ID_0BB29904F01945A098FA5B13AF9C6B23",1)</f>
        <v>=DISPIMG("ID_0BB29904F01945A098FA5B13AF9C6B23",1)</v>
      </c>
      <c r="D11" s="34" t="s">
        <v>1113</v>
      </c>
      <c r="E11" s="48" t="s">
        <v>1114</v>
      </c>
      <c r="F11" s="48" t="s">
        <v>1115</v>
      </c>
      <c r="G11" s="48" t="s">
        <v>1112</v>
      </c>
      <c r="H11" s="48" t="s">
        <v>1116</v>
      </c>
      <c r="I11" s="121">
        <v>123.8</v>
      </c>
      <c r="J11" s="166">
        <v>177.1</v>
      </c>
      <c r="K11" s="165">
        <v>50000</v>
      </c>
      <c r="L11" s="165">
        <v>55000</v>
      </c>
      <c r="M11" s="165">
        <v>60000</v>
      </c>
      <c r="N11" s="48" t="s">
        <v>1117</v>
      </c>
      <c r="O11" s="48" t="s">
        <v>354</v>
      </c>
    </row>
    <row r="12" s="1" customFormat="1" ht="40" customHeight="1" spans="1:15">
      <c r="A12" s="37" t="s">
        <v>813</v>
      </c>
      <c r="B12" s="49">
        <v>11</v>
      </c>
      <c r="C12" s="38" t="str">
        <f>_xlfn.DISPIMG("ID_AFE0873BF9B74487A9F8728995BDF9E6",1)</f>
        <v>=DISPIMG("ID_AFE0873BF9B74487A9F8728995BDF9E6",1)</v>
      </c>
      <c r="D12" s="37" t="s">
        <v>1118</v>
      </c>
      <c r="E12" s="49" t="s">
        <v>1119</v>
      </c>
      <c r="F12" s="37" t="s">
        <v>1120</v>
      </c>
      <c r="G12" s="37" t="s">
        <v>857</v>
      </c>
      <c r="H12" s="37" t="s">
        <v>1121</v>
      </c>
      <c r="I12" s="37">
        <v>2057.1</v>
      </c>
      <c r="J12" s="59">
        <v>96.6</v>
      </c>
      <c r="K12" s="163">
        <v>140000</v>
      </c>
      <c r="L12" s="163">
        <v>180000</v>
      </c>
      <c r="M12" s="163">
        <v>250000</v>
      </c>
      <c r="N12" s="49" t="s">
        <v>39</v>
      </c>
      <c r="O12" s="37" t="s">
        <v>1122</v>
      </c>
    </row>
    <row r="13" s="1" customFormat="1" ht="40" customHeight="1" spans="1:15">
      <c r="A13" s="34" t="s">
        <v>813</v>
      </c>
      <c r="B13" s="34">
        <v>12</v>
      </c>
      <c r="C13" s="34" t="str">
        <f>_xlfn.DISPIMG("ID_3612EE88D5934574A901D287B93AF116",1)</f>
        <v>=DISPIMG("ID_3612EE88D5934574A901D287B93AF116",1)</v>
      </c>
      <c r="D13" s="34" t="s">
        <v>1123</v>
      </c>
      <c r="E13" s="48" t="s">
        <v>1124</v>
      </c>
      <c r="F13" s="48" t="s">
        <v>1125</v>
      </c>
      <c r="G13" s="48" t="s">
        <v>676</v>
      </c>
      <c r="H13" s="48" t="s">
        <v>1126</v>
      </c>
      <c r="I13" s="121">
        <v>565.4</v>
      </c>
      <c r="J13" s="166">
        <v>20.5</v>
      </c>
      <c r="K13" s="165">
        <v>250000</v>
      </c>
      <c r="L13" s="165">
        <v>280000</v>
      </c>
      <c r="M13" s="165">
        <v>300000</v>
      </c>
      <c r="N13" s="48" t="s">
        <v>1127</v>
      </c>
      <c r="O13" s="48" t="s">
        <v>354</v>
      </c>
    </row>
    <row r="14" s="1" customFormat="1" ht="40" customHeight="1" spans="1:15">
      <c r="A14" s="37" t="s">
        <v>813</v>
      </c>
      <c r="B14" s="49">
        <v>13</v>
      </c>
      <c r="C14" s="38" t="str">
        <f>_xlfn.DISPIMG("ID_0CBF9193802644CAB0966EFF5519F696",1)</f>
        <v>=DISPIMG("ID_0CBF9193802644CAB0966EFF5519F696",1)</v>
      </c>
      <c r="D14" s="37" t="s">
        <v>1128</v>
      </c>
      <c r="E14" s="49" t="s">
        <v>1129</v>
      </c>
      <c r="F14" s="37" t="s">
        <v>1130</v>
      </c>
      <c r="G14" s="37" t="s">
        <v>1131</v>
      </c>
      <c r="H14" s="37" t="s">
        <v>1132</v>
      </c>
      <c r="I14" s="37">
        <v>733.4</v>
      </c>
      <c r="J14" s="59">
        <v>39.2</v>
      </c>
      <c r="K14" s="163">
        <v>70000</v>
      </c>
      <c r="L14" s="163">
        <v>90000</v>
      </c>
      <c r="M14" s="163">
        <v>100000</v>
      </c>
      <c r="N14" s="49" t="s">
        <v>1133</v>
      </c>
      <c r="O14" s="37" t="s">
        <v>354</v>
      </c>
    </row>
    <row r="15" s="1" customFormat="1" ht="40" customHeight="1" spans="1:15">
      <c r="A15" s="34" t="s">
        <v>813</v>
      </c>
      <c r="B15" s="34">
        <v>14</v>
      </c>
      <c r="C15" s="34" t="str">
        <f>_xlfn.DISPIMG("ID_814BC76440B1456F839F54E2CD83E197",1)</f>
        <v>=DISPIMG("ID_814BC76440B1456F839F54E2CD83E197",1)</v>
      </c>
      <c r="D15" s="34" t="s">
        <v>1134</v>
      </c>
      <c r="E15" s="48" t="s">
        <v>1135</v>
      </c>
      <c r="F15" s="48" t="s">
        <v>1136</v>
      </c>
      <c r="G15" s="48" t="s">
        <v>1137</v>
      </c>
      <c r="H15" s="48" t="s">
        <v>1138</v>
      </c>
      <c r="I15" s="121">
        <v>469.3</v>
      </c>
      <c r="J15" s="166">
        <v>96.8</v>
      </c>
      <c r="K15" s="165">
        <v>85000</v>
      </c>
      <c r="L15" s="165">
        <v>100000</v>
      </c>
      <c r="M15" s="165">
        <v>120000</v>
      </c>
      <c r="N15" s="48" t="s">
        <v>1139</v>
      </c>
      <c r="O15" s="48" t="s">
        <v>1140</v>
      </c>
    </row>
    <row r="16" s="1" customFormat="1" ht="40" customHeight="1" spans="1:15">
      <c r="A16" s="37" t="s">
        <v>813</v>
      </c>
      <c r="B16" s="49">
        <v>15</v>
      </c>
      <c r="C16" s="38" t="str">
        <f>_xlfn.DISPIMG("ID_EFD4636F92FA47B094206FC19E23EC7A",1)</f>
        <v>=DISPIMG("ID_EFD4636F92FA47B094206FC19E23EC7A",1)</v>
      </c>
      <c r="D16" s="37" t="s">
        <v>1141</v>
      </c>
      <c r="E16" s="49" t="s">
        <v>1142</v>
      </c>
      <c r="F16" s="37">
        <v>5919346</v>
      </c>
      <c r="G16" s="37" t="s">
        <v>1143</v>
      </c>
      <c r="H16" s="37" t="s">
        <v>1144</v>
      </c>
      <c r="I16" s="37">
        <v>310.5</v>
      </c>
      <c r="J16" s="59">
        <v>291.5</v>
      </c>
      <c r="K16" s="163">
        <v>19000</v>
      </c>
      <c r="L16" s="163">
        <v>24300</v>
      </c>
      <c r="M16" s="163">
        <v>30000</v>
      </c>
      <c r="N16" s="49" t="s">
        <v>1145</v>
      </c>
      <c r="O16" s="37" t="s">
        <v>43</v>
      </c>
    </row>
    <row r="17" s="1" customFormat="1" ht="40" customHeight="1" spans="1:15">
      <c r="A17" s="34" t="s">
        <v>813</v>
      </c>
      <c r="B17" s="34">
        <v>16</v>
      </c>
      <c r="C17" s="34" t="str">
        <f>_xlfn.DISPIMG("ID_730B0317D023468F91CFCE89195B0DCA",1)</f>
        <v>=DISPIMG("ID_730B0317D023468F91CFCE89195B0DCA",1)</v>
      </c>
      <c r="D17" s="34" t="s">
        <v>1146</v>
      </c>
      <c r="E17" s="48" t="s">
        <v>1147</v>
      </c>
      <c r="F17" s="48" t="s">
        <v>1148</v>
      </c>
      <c r="G17" s="48" t="s">
        <v>151</v>
      </c>
      <c r="H17" s="48" t="s">
        <v>1149</v>
      </c>
      <c r="I17" s="121">
        <v>315.1</v>
      </c>
      <c r="J17" s="166">
        <v>115.8</v>
      </c>
      <c r="K17" s="165">
        <v>58000</v>
      </c>
      <c r="L17" s="165">
        <v>64000</v>
      </c>
      <c r="M17" s="165">
        <v>71000</v>
      </c>
      <c r="N17" s="48" t="s">
        <v>1150</v>
      </c>
      <c r="O17" s="48" t="s">
        <v>1151</v>
      </c>
    </row>
    <row r="18" s="1" customFormat="1" ht="40" customHeight="1" spans="1:15">
      <c r="A18" s="37" t="s">
        <v>813</v>
      </c>
      <c r="B18" s="49">
        <v>17</v>
      </c>
      <c r="C18" s="38" t="str">
        <f>_xlfn.DISPIMG("ID_5C07DC249D664D0DAC4CBF35D4432619",1)</f>
        <v>=DISPIMG("ID_5C07DC249D664D0DAC4CBF35D4432619",1)</v>
      </c>
      <c r="D18" s="37" t="s">
        <v>1152</v>
      </c>
      <c r="E18" s="49" t="s">
        <v>1153</v>
      </c>
      <c r="F18" s="37" t="s">
        <v>1154</v>
      </c>
      <c r="G18" s="37" t="s">
        <v>1155</v>
      </c>
      <c r="H18" s="37" t="s">
        <v>1156</v>
      </c>
      <c r="I18" s="37">
        <v>290.5</v>
      </c>
      <c r="J18" s="59">
        <v>513.1</v>
      </c>
      <c r="K18" s="163">
        <v>30400</v>
      </c>
      <c r="L18" s="163">
        <v>38000</v>
      </c>
      <c r="M18" s="163">
        <v>49500</v>
      </c>
      <c r="N18" s="49" t="s">
        <v>1157</v>
      </c>
      <c r="O18" s="37" t="s">
        <v>832</v>
      </c>
    </row>
    <row r="19" s="1" customFormat="1" ht="40" customHeight="1" spans="1:15">
      <c r="A19" s="34" t="s">
        <v>813</v>
      </c>
      <c r="B19" s="34">
        <v>18</v>
      </c>
      <c r="C19" s="34" t="str">
        <f>_xlfn.DISPIMG("ID_0B01EE3AE8F24C9EA8ABA8274A248C0D",1)</f>
        <v>=DISPIMG("ID_0B01EE3AE8F24C9EA8ABA8274A248C0D",1)</v>
      </c>
      <c r="D19" s="34" t="s">
        <v>1158</v>
      </c>
      <c r="E19" s="48" t="s">
        <v>1159</v>
      </c>
      <c r="F19" s="48" t="s">
        <v>1160</v>
      </c>
      <c r="G19" s="48" t="s">
        <v>1161</v>
      </c>
      <c r="H19" s="48" t="s">
        <v>1162</v>
      </c>
      <c r="I19" s="121">
        <v>244.8</v>
      </c>
      <c r="J19" s="166">
        <v>171.7</v>
      </c>
      <c r="K19" s="165">
        <v>72000</v>
      </c>
      <c r="L19" s="165">
        <v>78000</v>
      </c>
      <c r="M19" s="165">
        <v>85000</v>
      </c>
      <c r="N19" s="48" t="s">
        <v>1163</v>
      </c>
      <c r="O19" s="48" t="s">
        <v>1164</v>
      </c>
    </row>
    <row r="20" s="1" customFormat="1" ht="40" customHeight="1" spans="1:15">
      <c r="A20" s="37" t="s">
        <v>813</v>
      </c>
      <c r="B20" s="49">
        <v>19</v>
      </c>
      <c r="C20" s="38" t="str">
        <f>_xlfn.DISPIMG("ID_042A9AA6863D4347BF071C0505BB7101",1)</f>
        <v>=DISPIMG("ID_042A9AA6863D4347BF071C0505BB7101",1)</v>
      </c>
      <c r="D20" s="37" t="s">
        <v>1165</v>
      </c>
      <c r="E20" s="49" t="s">
        <v>1166</v>
      </c>
      <c r="F20" s="37" t="s">
        <v>1167</v>
      </c>
      <c r="G20" s="37" t="s">
        <v>1168</v>
      </c>
      <c r="H20" s="37" t="s">
        <v>1169</v>
      </c>
      <c r="I20" s="37">
        <v>158</v>
      </c>
      <c r="J20" s="59">
        <v>373.8</v>
      </c>
      <c r="K20" s="163">
        <v>21600</v>
      </c>
      <c r="L20" s="163">
        <v>45000</v>
      </c>
      <c r="M20" s="163">
        <v>55000</v>
      </c>
      <c r="N20" s="49" t="s">
        <v>1170</v>
      </c>
      <c r="O20" s="37" t="s">
        <v>715</v>
      </c>
    </row>
    <row r="21" s="1" customFormat="1" ht="40" customHeight="1" spans="1:15">
      <c r="A21" s="34" t="s">
        <v>813</v>
      </c>
      <c r="B21" s="34">
        <v>20</v>
      </c>
      <c r="C21" s="34" t="str">
        <f>_xlfn.DISPIMG("ID_CE7BCC6A91624D2CB1729F2763EA041C",1)</f>
        <v>=DISPIMG("ID_CE7BCC6A91624D2CB1729F2763EA041C",1)</v>
      </c>
      <c r="D21" s="34" t="s">
        <v>1171</v>
      </c>
      <c r="E21" s="48" t="s">
        <v>1172</v>
      </c>
      <c r="F21" s="48">
        <v>3166364</v>
      </c>
      <c r="G21" s="48" t="s">
        <v>599</v>
      </c>
      <c r="H21" s="48" t="s">
        <v>1173</v>
      </c>
      <c r="I21" s="121">
        <v>152</v>
      </c>
      <c r="J21" s="166">
        <v>307.8</v>
      </c>
      <c r="K21" s="165">
        <v>40000</v>
      </c>
      <c r="L21" s="165">
        <v>58000</v>
      </c>
      <c r="M21" s="165">
        <v>75000</v>
      </c>
      <c r="N21" s="48" t="s">
        <v>1174</v>
      </c>
      <c r="O21" s="48" t="s">
        <v>354</v>
      </c>
    </row>
    <row r="22" s="1" customFormat="1" ht="40" customHeight="1" spans="1:15">
      <c r="A22" s="37" t="s">
        <v>813</v>
      </c>
      <c r="B22" s="49">
        <v>21</v>
      </c>
      <c r="C22" s="38" t="str">
        <f>_xlfn.DISPIMG("ID_9E9EC13F78C54133AB32AE14184AA937",1)</f>
        <v>=DISPIMG("ID_9E9EC13F78C54133AB32AE14184AA937",1)</v>
      </c>
      <c r="D22" s="37" t="s">
        <v>1175</v>
      </c>
      <c r="E22" s="49" t="s">
        <v>1176</v>
      </c>
      <c r="F22" s="37">
        <v>1308037212</v>
      </c>
      <c r="G22" s="37" t="s">
        <v>1177</v>
      </c>
      <c r="H22" s="37" t="s">
        <v>1178</v>
      </c>
      <c r="I22" s="37">
        <v>106.8</v>
      </c>
      <c r="J22" s="59" t="s">
        <v>39</v>
      </c>
      <c r="K22" s="163">
        <v>35000</v>
      </c>
      <c r="L22" s="163">
        <v>55000</v>
      </c>
      <c r="M22" s="163">
        <v>60000</v>
      </c>
      <c r="N22" s="49" t="s">
        <v>1179</v>
      </c>
      <c r="O22" s="37" t="s">
        <v>354</v>
      </c>
    </row>
    <row r="23" s="1" customFormat="1" ht="40" customHeight="1" spans="1:15">
      <c r="A23" s="34" t="s">
        <v>1180</v>
      </c>
      <c r="B23" s="34">
        <v>22</v>
      </c>
      <c r="C23" s="34" t="str">
        <f>_xlfn.DISPIMG("ID_1B3B087BDDEB46D0B42DC1E122EFFB85",1)</f>
        <v>=DISPIMG("ID_1B3B087BDDEB46D0B42DC1E122EFFB85",1)</v>
      </c>
      <c r="D23" s="34" t="s">
        <v>1181</v>
      </c>
      <c r="E23" s="48" t="s">
        <v>1182</v>
      </c>
      <c r="F23" s="48" t="s">
        <v>1183</v>
      </c>
      <c r="G23" s="48" t="s">
        <v>1184</v>
      </c>
      <c r="H23" s="48" t="s">
        <v>1185</v>
      </c>
      <c r="I23" s="121">
        <v>12.9</v>
      </c>
      <c r="J23" s="166">
        <v>874.3</v>
      </c>
      <c r="K23" s="165">
        <v>29800</v>
      </c>
      <c r="L23" s="165">
        <v>49800</v>
      </c>
      <c r="M23" s="165">
        <v>80000</v>
      </c>
      <c r="N23" s="48" t="s">
        <v>1186</v>
      </c>
      <c r="O23" s="48" t="s">
        <v>715</v>
      </c>
    </row>
    <row r="24" s="1" customFormat="1" ht="40" customHeight="1" spans="1:15">
      <c r="A24" s="37" t="s">
        <v>1187</v>
      </c>
      <c r="B24" s="49">
        <v>23</v>
      </c>
      <c r="C24" s="38" t="str">
        <f>_xlfn.DISPIMG("ID_AA2D2A5BCE8645FFB273E13C73B42B7C",1)</f>
        <v>=DISPIMG("ID_AA2D2A5BCE8645FFB273E13C73B42B7C",1)</v>
      </c>
      <c r="D24" s="37" t="s">
        <v>1188</v>
      </c>
      <c r="E24" s="49" t="s">
        <v>1189</v>
      </c>
      <c r="F24" s="37" t="s">
        <v>1190</v>
      </c>
      <c r="G24" s="37" t="s">
        <v>1191</v>
      </c>
      <c r="H24" s="37" t="s">
        <v>1192</v>
      </c>
      <c r="I24" s="37">
        <v>477.2</v>
      </c>
      <c r="J24" s="59">
        <v>728.6</v>
      </c>
      <c r="K24" s="163">
        <v>65000</v>
      </c>
      <c r="L24" s="163">
        <v>130000</v>
      </c>
      <c r="M24" s="163">
        <v>150000</v>
      </c>
      <c r="N24" s="49" t="s">
        <v>1193</v>
      </c>
      <c r="O24" s="37" t="s">
        <v>780</v>
      </c>
    </row>
    <row r="25" s="1" customFormat="1" ht="40" customHeight="1" spans="1:15">
      <c r="A25" s="34" t="s">
        <v>1187</v>
      </c>
      <c r="B25" s="34">
        <v>24</v>
      </c>
      <c r="C25" s="158" t="str">
        <f>_xlfn.DISPIMG("ID_3BDCE9C73163449FA640B821CC7AD18E",1)</f>
        <v>=DISPIMG("ID_3BDCE9C73163449FA640B821CC7AD18E",1)</v>
      </c>
      <c r="D25" s="34" t="s">
        <v>1194</v>
      </c>
      <c r="E25" s="48" t="s">
        <v>1195</v>
      </c>
      <c r="F25" s="48" t="s">
        <v>1196</v>
      </c>
      <c r="G25" s="48" t="s">
        <v>1191</v>
      </c>
      <c r="H25" s="48" t="s">
        <v>1197</v>
      </c>
      <c r="I25" s="121">
        <v>244.7</v>
      </c>
      <c r="J25" s="166">
        <v>179.9</v>
      </c>
      <c r="K25" s="165">
        <v>22000</v>
      </c>
      <c r="L25" s="165">
        <v>27000</v>
      </c>
      <c r="M25" s="165">
        <v>32000</v>
      </c>
      <c r="N25" s="48" t="s">
        <v>39</v>
      </c>
      <c r="O25" s="48" t="s">
        <v>832</v>
      </c>
    </row>
    <row r="26" s="1" customFormat="1" ht="40" customHeight="1" spans="1:15">
      <c r="A26" s="37" t="s">
        <v>1187</v>
      </c>
      <c r="B26" s="49">
        <v>25</v>
      </c>
      <c r="C26" s="38" t="str">
        <f>_xlfn.DISPIMG("ID_761495A2F924407682D5AF1846219854",1)</f>
        <v>=DISPIMG("ID_761495A2F924407682D5AF1846219854",1)</v>
      </c>
      <c r="D26" s="37" t="s">
        <v>1198</v>
      </c>
      <c r="E26" s="49" t="s">
        <v>1199</v>
      </c>
      <c r="F26" s="37">
        <v>1682586568</v>
      </c>
      <c r="G26" s="37" t="s">
        <v>1200</v>
      </c>
      <c r="H26" s="37" t="s">
        <v>1201</v>
      </c>
      <c r="I26" s="37">
        <v>122.9</v>
      </c>
      <c r="J26" s="59">
        <v>115</v>
      </c>
      <c r="K26" s="163">
        <v>20000</v>
      </c>
      <c r="L26" s="163">
        <v>30000</v>
      </c>
      <c r="M26" s="163">
        <v>40000</v>
      </c>
      <c r="N26" s="49" t="s">
        <v>1202</v>
      </c>
      <c r="O26" s="37" t="s">
        <v>203</v>
      </c>
    </row>
    <row r="27" s="1" customFormat="1" ht="40" customHeight="1" spans="1:15">
      <c r="A27" s="34" t="s">
        <v>1187</v>
      </c>
      <c r="B27" s="34">
        <v>26</v>
      </c>
      <c r="C27" s="34" t="str">
        <f>_xlfn.DISPIMG("ID_951FD68B9AF343ADBDA89E3CD33BBC08",1)</f>
        <v>=DISPIMG("ID_951FD68B9AF343ADBDA89E3CD33BBC08",1)</v>
      </c>
      <c r="D27" s="34" t="s">
        <v>1203</v>
      </c>
      <c r="E27" s="48" t="s">
        <v>1204</v>
      </c>
      <c r="F27" s="48" t="s">
        <v>1205</v>
      </c>
      <c r="G27" s="48" t="s">
        <v>1200</v>
      </c>
      <c r="H27" s="48" t="s">
        <v>1206</v>
      </c>
      <c r="I27" s="121">
        <v>172.9</v>
      </c>
      <c r="J27" s="166">
        <v>132.5</v>
      </c>
      <c r="K27" s="165">
        <v>22000</v>
      </c>
      <c r="L27" s="165">
        <v>32000</v>
      </c>
      <c r="M27" s="165">
        <v>37000</v>
      </c>
      <c r="N27" s="48" t="s">
        <v>39</v>
      </c>
      <c r="O27" s="48" t="s">
        <v>832</v>
      </c>
    </row>
    <row r="28" s="1" customFormat="1" ht="40" customHeight="1" spans="1:15">
      <c r="A28" s="37" t="s">
        <v>1187</v>
      </c>
      <c r="B28" s="49">
        <v>27</v>
      </c>
      <c r="C28" s="38" t="str">
        <f>_xlfn.DISPIMG("ID_5FBD3AADE5A8499AAD44448BAFF3AB1B",1)</f>
        <v>=DISPIMG("ID_5FBD3AADE5A8499AAD44448BAFF3AB1B",1)</v>
      </c>
      <c r="D28" s="37" t="s">
        <v>1207</v>
      </c>
      <c r="E28" s="49" t="s">
        <v>1208</v>
      </c>
      <c r="F28" s="37" t="s">
        <v>1209</v>
      </c>
      <c r="G28" s="37" t="s">
        <v>1200</v>
      </c>
      <c r="H28" s="37" t="s">
        <v>1210</v>
      </c>
      <c r="I28" s="37">
        <v>72.8</v>
      </c>
      <c r="J28" s="59">
        <v>172.4</v>
      </c>
      <c r="K28" s="163">
        <v>15000</v>
      </c>
      <c r="L28" s="163">
        <v>22000</v>
      </c>
      <c r="M28" s="163">
        <v>28000</v>
      </c>
      <c r="N28" s="49" t="s">
        <v>39</v>
      </c>
      <c r="O28" s="37" t="s">
        <v>832</v>
      </c>
    </row>
    <row r="29" s="1" customFormat="1" ht="40" customHeight="1" spans="1:15">
      <c r="A29" s="34" t="s">
        <v>448</v>
      </c>
      <c r="B29" s="34">
        <v>29</v>
      </c>
      <c r="C29" s="34" t="str">
        <f>_xlfn.DISPIMG("ID_4390B0010FEE44C9B5A3D6C8B9DE9FC1",1)</f>
        <v>=DISPIMG("ID_4390B0010FEE44C9B5A3D6C8B9DE9FC1",1)</v>
      </c>
      <c r="D29" s="34" t="s">
        <v>1211</v>
      </c>
      <c r="E29" s="48" t="s">
        <v>1212</v>
      </c>
      <c r="F29" s="48" t="s">
        <v>1213</v>
      </c>
      <c r="G29" s="48" t="s">
        <v>59</v>
      </c>
      <c r="H29" s="48" t="s">
        <v>1214</v>
      </c>
      <c r="I29" s="121">
        <v>232.7</v>
      </c>
      <c r="J29" s="166">
        <v>188.9</v>
      </c>
      <c r="K29" s="165">
        <v>60000</v>
      </c>
      <c r="L29" s="165">
        <v>71000</v>
      </c>
      <c r="M29" s="165">
        <v>84000</v>
      </c>
      <c r="N29" s="48" t="s">
        <v>1215</v>
      </c>
      <c r="O29" s="48" t="s">
        <v>43</v>
      </c>
    </row>
    <row r="30" s="1" customFormat="1" ht="40" customHeight="1" spans="1:15">
      <c r="A30" s="37" t="s">
        <v>448</v>
      </c>
      <c r="B30" s="49">
        <v>30</v>
      </c>
      <c r="C30" s="38" t="str">
        <f>_xlfn.DISPIMG("ID_6CC9BDC92F1045FCAC830843B1763C85",1)</f>
        <v>=DISPIMG("ID_6CC9BDC92F1045FCAC830843B1763C85",1)</v>
      </c>
      <c r="D30" s="37" t="s">
        <v>1216</v>
      </c>
      <c r="E30" s="49" t="s">
        <v>1217</v>
      </c>
      <c r="F30" s="37" t="s">
        <v>1218</v>
      </c>
      <c r="G30" s="37" t="s">
        <v>448</v>
      </c>
      <c r="H30" s="37" t="s">
        <v>1219</v>
      </c>
      <c r="I30" s="37">
        <v>156.8</v>
      </c>
      <c r="J30" s="59">
        <v>68.7</v>
      </c>
      <c r="K30" s="163">
        <v>40000</v>
      </c>
      <c r="L30" s="163">
        <v>50000</v>
      </c>
      <c r="M30" s="163">
        <v>60000</v>
      </c>
      <c r="N30" s="49" t="s">
        <v>1220</v>
      </c>
      <c r="O30" s="37" t="s">
        <v>354</v>
      </c>
    </row>
    <row r="31" s="1" customFormat="1" ht="40" customHeight="1" spans="1:15">
      <c r="A31" s="34" t="s">
        <v>448</v>
      </c>
      <c r="B31" s="34">
        <v>31</v>
      </c>
      <c r="C31" s="34" t="str">
        <f>_xlfn.DISPIMG("ID_3D0895DB568B4559B7AC54257B672534",1)</f>
        <v>=DISPIMG("ID_3D0895DB568B4559B7AC54257B672534",1)</v>
      </c>
      <c r="D31" s="34" t="s">
        <v>1221</v>
      </c>
      <c r="E31" s="48" t="s">
        <v>1222</v>
      </c>
      <c r="F31" s="48" t="s">
        <v>1223</v>
      </c>
      <c r="G31" s="48" t="s">
        <v>448</v>
      </c>
      <c r="H31" s="48" t="s">
        <v>1224</v>
      </c>
      <c r="I31" s="121">
        <v>67.3</v>
      </c>
      <c r="J31" s="166">
        <v>372.9</v>
      </c>
      <c r="K31" s="165">
        <v>16000</v>
      </c>
      <c r="L31" s="165">
        <v>18000</v>
      </c>
      <c r="M31" s="165">
        <v>25000</v>
      </c>
      <c r="N31" s="48" t="s">
        <v>1225</v>
      </c>
      <c r="O31" s="48" t="s">
        <v>43</v>
      </c>
    </row>
    <row r="32" s="1" customFormat="1" ht="40" customHeight="1" spans="1:15">
      <c r="A32" s="37" t="s">
        <v>448</v>
      </c>
      <c r="B32" s="49">
        <v>32</v>
      </c>
      <c r="C32" s="38" t="str">
        <f>_xlfn.DISPIMG("ID_F02E829ADFC347619D451B622CB610EA",1)</f>
        <v>=DISPIMG("ID_F02E829ADFC347619D451B622CB610EA",1)</v>
      </c>
      <c r="D32" s="37" t="s">
        <v>1226</v>
      </c>
      <c r="E32" s="49" t="s">
        <v>1227</v>
      </c>
      <c r="F32" s="37" t="s">
        <v>1228</v>
      </c>
      <c r="G32" s="37" t="s">
        <v>448</v>
      </c>
      <c r="H32" s="37" t="s">
        <v>1229</v>
      </c>
      <c r="I32" s="37">
        <v>55.3</v>
      </c>
      <c r="J32" s="59">
        <v>21</v>
      </c>
      <c r="K32" s="163">
        <v>14000</v>
      </c>
      <c r="L32" s="163">
        <v>18000</v>
      </c>
      <c r="M32" s="163">
        <v>21000</v>
      </c>
      <c r="N32" s="49" t="s">
        <v>1230</v>
      </c>
      <c r="O32" s="37" t="s">
        <v>354</v>
      </c>
    </row>
    <row r="33" s="1" customFormat="1" ht="40" customHeight="1" spans="1:15">
      <c r="A33" s="34" t="s">
        <v>448</v>
      </c>
      <c r="B33" s="34">
        <v>33</v>
      </c>
      <c r="C33" s="34" t="str">
        <f>_xlfn.DISPIMG("ID_AB0811B705144A9EB90A5C39D8CFB0FC",1)</f>
        <v>=DISPIMG("ID_AB0811B705144A9EB90A5C39D8CFB0FC",1)</v>
      </c>
      <c r="D33" s="34" t="s">
        <v>1231</v>
      </c>
      <c r="E33" s="48" t="s">
        <v>1232</v>
      </c>
      <c r="F33" s="48" t="s">
        <v>1233</v>
      </c>
      <c r="G33" s="48" t="s">
        <v>448</v>
      </c>
      <c r="H33" s="48" t="s">
        <v>1234</v>
      </c>
      <c r="I33" s="121">
        <v>49.6</v>
      </c>
      <c r="J33" s="166">
        <v>190.9</v>
      </c>
      <c r="K33" s="165">
        <v>10000</v>
      </c>
      <c r="L33" s="165">
        <v>15000</v>
      </c>
      <c r="M33" s="165">
        <v>20000</v>
      </c>
      <c r="N33" s="48" t="s">
        <v>1235</v>
      </c>
      <c r="O33" s="48" t="s">
        <v>1236</v>
      </c>
    </row>
    <row r="34" s="1" customFormat="1" ht="40" customHeight="1" spans="1:15">
      <c r="A34" s="37" t="s">
        <v>1097</v>
      </c>
      <c r="B34" s="49">
        <v>34</v>
      </c>
      <c r="C34" s="38" t="str">
        <f>_xlfn.DISPIMG("ID_1BE1D3D5BDC142DB849E8ADC45855026",1)</f>
        <v>=DISPIMG("ID_1BE1D3D5BDC142DB849E8ADC45855026",1)</v>
      </c>
      <c r="D34" s="37" t="s">
        <v>1237</v>
      </c>
      <c r="E34" s="49" t="s">
        <v>1238</v>
      </c>
      <c r="F34" s="37" t="s">
        <v>1239</v>
      </c>
      <c r="G34" s="37" t="s">
        <v>1240</v>
      </c>
      <c r="H34" s="37" t="s">
        <v>1241</v>
      </c>
      <c r="I34" s="37">
        <v>235.9</v>
      </c>
      <c r="J34" s="59">
        <v>32.2</v>
      </c>
      <c r="K34" s="163">
        <v>150400</v>
      </c>
      <c r="L34" s="163">
        <v>188000</v>
      </c>
      <c r="M34" s="163">
        <v>228000</v>
      </c>
      <c r="N34" s="49" t="s">
        <v>39</v>
      </c>
      <c r="O34" s="37" t="s">
        <v>505</v>
      </c>
    </row>
    <row r="35" s="1" customFormat="1" ht="40" customHeight="1" spans="1:15">
      <c r="A35" s="34" t="s">
        <v>284</v>
      </c>
      <c r="B35" s="34">
        <v>35</v>
      </c>
      <c r="C35" s="34" t="str">
        <f>_xlfn.DISPIMG("ID_D42E536C5EDA4EDD8A56237D9040927D",1)</f>
        <v>=DISPIMG("ID_D42E536C5EDA4EDD8A56237D9040927D",1)</v>
      </c>
      <c r="D35" s="34" t="s">
        <v>1242</v>
      </c>
      <c r="E35" s="48" t="s">
        <v>1243</v>
      </c>
      <c r="F35" s="48" t="s">
        <v>1244</v>
      </c>
      <c r="G35" s="48" t="s">
        <v>1245</v>
      </c>
      <c r="H35" s="48" t="s">
        <v>1246</v>
      </c>
      <c r="I35" s="121">
        <v>228.1</v>
      </c>
      <c r="J35" s="166">
        <v>106.1</v>
      </c>
      <c r="K35" s="165">
        <v>28000</v>
      </c>
      <c r="L35" s="165">
        <v>35000</v>
      </c>
      <c r="M35" s="165">
        <v>45000</v>
      </c>
      <c r="N35" s="48" t="s">
        <v>1247</v>
      </c>
      <c r="O35" s="48" t="s">
        <v>1248</v>
      </c>
    </row>
    <row r="36" s="1" customFormat="1" ht="40" customHeight="1" spans="1:15">
      <c r="A36" s="61" t="s">
        <v>284</v>
      </c>
      <c r="B36" s="159">
        <v>36</v>
      </c>
      <c r="C36" s="160" t="str">
        <f>_xlfn.DISPIMG("ID_B79FA78A6504466B86006391C997951C",1)</f>
        <v>=DISPIMG("ID_B79FA78A6504466B86006391C997951C",1)</v>
      </c>
      <c r="D36" s="61" t="s">
        <v>1249</v>
      </c>
      <c r="E36" s="159" t="s">
        <v>1250</v>
      </c>
      <c r="F36" s="61">
        <v>187982409</v>
      </c>
      <c r="G36" s="61" t="s">
        <v>284</v>
      </c>
      <c r="H36" s="61" t="s">
        <v>1251</v>
      </c>
      <c r="I36" s="61">
        <v>235.4</v>
      </c>
      <c r="J36" s="63">
        <v>145.1</v>
      </c>
      <c r="K36" s="167">
        <v>34000</v>
      </c>
      <c r="L36" s="167">
        <v>85000</v>
      </c>
      <c r="M36" s="167">
        <v>95000</v>
      </c>
      <c r="N36" s="159" t="s">
        <v>1252</v>
      </c>
      <c r="O36" s="61" t="s">
        <v>780</v>
      </c>
    </row>
    <row r="37" s="1" customFormat="1" spans="4:14">
      <c r="D37" s="161"/>
      <c r="N37" s="4"/>
    </row>
    <row r="38" s="1" customFormat="1" spans="4:14">
      <c r="D38" s="161"/>
      <c r="N38" s="4"/>
    </row>
  </sheetData>
  <autoFilter xmlns:etc="http://www.wps.cn/officeDocument/2017/etCustomData" ref="A2:O36" etc:filterBottomFollowUsedRange="0">
    <extLst/>
  </autoFilter>
  <mergeCells count="1">
    <mergeCell ref="A1:O1"/>
  </mergeCells>
  <hyperlinks>
    <hyperlink ref="H24" r:id="rId2" display="https://v.douyin.com/LWd4PfQ/"/>
    <hyperlink ref="H17" r:id="rId3" display="https://v.douyin.com/eYqMACg/"/>
    <hyperlink ref="H26" r:id="rId4" display="https://v.douyin.com/Jn8Fe8S/"/>
    <hyperlink ref="H3" r:id="rId5" display="https://v.douyin.com/M3CUn1t/"/>
    <hyperlink ref="H14" r:id="rId6" display="https://v.douyin.com/6QeCELJ/"/>
    <hyperlink ref="H6" r:id="rId7" display="https://v.douyin.com/F52xKBj/"/>
    <hyperlink ref="H18" r:id="rId8" display="https://v.douyin.com/6nnu3ep/"/>
    <hyperlink ref="H10" r:id="rId9" display="https://v.douyin.com/FukGc9y/"/>
    <hyperlink ref="H34" r:id="rId10" display="https://v.douyin.com/iCQLdBJ/"/>
    <hyperlink ref="H36" r:id="rId11" display="https://v.douyin.com/d92Ym7m/"/>
    <hyperlink ref="H19" r:id="rId12" display="https://v.douyin.com/iJsMgCaF/"/>
    <hyperlink ref="H21" r:id="rId13" display="https://v.douyin.com/ie2bqhFJ/"/>
    <hyperlink ref="H35" r:id="rId14" display="https://v.douyin.com/A8oV6Rg/"/>
    <hyperlink ref="H33" r:id="rId15" display="https://v.douyin.com/hL3oFpS/"/>
    <hyperlink ref="H20" r:id="rId16" display="https://v.douyin.com/idbgpq8H/"/>
    <hyperlink ref="H5" r:id="rId17" display="https://v.douyin.com/idgFtebK/"/>
    <hyperlink ref="H15" r:id="rId18" display="https://v.douyin.com/Mso7q78/"/>
    <hyperlink ref="H4" r:id="rId19" display="https://v.douyin.com/EoRCNC/"/>
    <hyperlink ref="H12" r:id="rId20" display="https://v.douyin.com/i2RS3sn4/ 5@1.com"/>
    <hyperlink ref="H30" r:id="rId21" display="https://v.douyin.com/i6jxhjWt/ 0@5.com" tooltip="https://v.douyin.com/i6jxhjWt/ 0@5.com"/>
    <hyperlink ref="H11" r:id="rId22" display="https://v.douyin.com/eVyoRpH/"/>
    <hyperlink ref="H22" r:id="rId23" display="https://v.douyin.com/eVfJN5H/"/>
    <hyperlink ref="H16" r:id="rId24" display="https://v.douyin.com/iFnqKRPt/ 5@4.com"/>
    <hyperlink ref="H25" r:id="rId25" display="https://v.douyin.com/iMnTEUEQ/ 5"/>
    <hyperlink ref="H27" r:id="rId26" display="https://v.douyin.com/iSkaX3wK/ 7@4.com"/>
    <hyperlink ref="H32" r:id="rId27" display="https://v.douyin.com/iJBkt6n2/"/>
    <hyperlink ref="H31" r:id="rId28" display="https://v.douyin.com/iLXhmbEv/"/>
    <hyperlink ref="H23" r:id="rId29" display="https://v.douyin.com/iR6RY8xk/"/>
    <hyperlink ref="H7" r:id="rId30" display="https://v.douyin.com/bmOwXBxZVL0/"/>
    <hyperlink ref="H29" r:id="rId31" display="https://v.douyin.com/qtWVvJiFOXw/"/>
    <hyperlink ref="H8" r:id="rId32" display="https://v.douyin.com/vG6xXKcEm1M/"/>
    <hyperlink ref="H9" r:id="rId33" display="https://v.douyin.com/ijRaTmKu/"/>
    <hyperlink ref="H13" r:id="rId34" display="https://v.douyin.com/8fK-mzMbqx4/ 9@3.com"/>
    <hyperlink ref="H28" r:id="rId35" display="https://v.douyin.com/Rxq1VX9/"/>
  </hyperlinks>
  <pageMargins left="0.699305555555556" right="0.699305555555556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O60"/>
  <sheetViews>
    <sheetView workbookViewId="0">
      <pane xSplit="5" ySplit="2" topLeftCell="F3" activePane="bottomRight" state="frozen"/>
      <selection/>
      <selection pane="topRight"/>
      <selection pane="bottomLeft"/>
      <selection pane="bottomRight" activeCell="O59" sqref="O59"/>
    </sheetView>
  </sheetViews>
  <sheetFormatPr defaultColWidth="9.81666666666667" defaultRowHeight="14.25"/>
  <cols>
    <col min="1" max="2" width="9" style="104" customWidth="1"/>
    <col min="3" max="3" width="7.625" style="104" customWidth="1"/>
    <col min="4" max="4" width="14.7583333333333" style="104" customWidth="1"/>
    <col min="5" max="5" width="12.8833333333333" style="104" customWidth="1"/>
    <col min="6" max="6" width="30.625" style="104" customWidth="1"/>
    <col min="7" max="7" width="15.625" style="105" customWidth="1"/>
    <col min="8" max="10" width="9" style="104" customWidth="1"/>
    <col min="11" max="13" width="18.2583333333333" style="104" customWidth="1"/>
    <col min="14" max="15" width="25.2583333333333" style="104" customWidth="1"/>
    <col min="16" max="16370" width="9" style="104" customWidth="1"/>
    <col min="16371" max="16376" width="9.64166666666667" style="104"/>
    <col min="16377" max="16384" width="9.81666666666667" style="104"/>
  </cols>
  <sheetData>
    <row r="1" s="100" customFormat="1" ht="70" customHeight="1" spans="1:15">
      <c r="A1" s="106" t="s">
        <v>1253</v>
      </c>
      <c r="B1" s="106"/>
      <c r="C1" s="106"/>
      <c r="D1" s="106"/>
      <c r="E1" s="106"/>
      <c r="F1" s="106"/>
      <c r="G1" s="106"/>
      <c r="H1" s="107"/>
      <c r="I1" s="107"/>
      <c r="J1" s="106"/>
      <c r="K1" s="106"/>
      <c r="L1" s="106"/>
      <c r="M1" s="106"/>
      <c r="N1" s="106"/>
      <c r="O1" s="139"/>
    </row>
    <row r="2" s="101" customFormat="1" ht="30" customHeight="1" spans="1:15">
      <c r="A2" s="108" t="s">
        <v>7</v>
      </c>
      <c r="B2" s="108" t="s">
        <v>8</v>
      </c>
      <c r="C2" s="108" t="s">
        <v>9</v>
      </c>
      <c r="D2" s="108" t="s">
        <v>1254</v>
      </c>
      <c r="E2" s="108" t="s">
        <v>1255</v>
      </c>
      <c r="F2" s="108" t="s">
        <v>1256</v>
      </c>
      <c r="G2" s="109" t="s">
        <v>1057</v>
      </c>
      <c r="H2" s="110" t="s">
        <v>1257</v>
      </c>
      <c r="I2" s="110" t="s">
        <v>1258</v>
      </c>
      <c r="J2" s="108" t="s">
        <v>1259</v>
      </c>
      <c r="K2" s="108" t="s">
        <v>1260</v>
      </c>
      <c r="L2" s="108" t="s">
        <v>1261</v>
      </c>
      <c r="M2" s="108" t="s">
        <v>1262</v>
      </c>
      <c r="N2" s="108" t="s">
        <v>1263</v>
      </c>
      <c r="O2" s="108" t="s">
        <v>1264</v>
      </c>
    </row>
    <row r="3" s="102" customFormat="1" ht="25" customHeight="1" spans="1:15">
      <c r="A3" s="111"/>
      <c r="B3" s="111"/>
      <c r="C3" s="111"/>
      <c r="D3" s="111"/>
      <c r="E3" s="111"/>
      <c r="F3" s="111"/>
      <c r="G3" s="111" t="s">
        <v>31</v>
      </c>
      <c r="H3" s="112"/>
      <c r="I3" s="112"/>
      <c r="J3" s="111"/>
      <c r="K3" s="111"/>
      <c r="L3" s="111"/>
      <c r="M3" s="111"/>
      <c r="N3" s="111"/>
      <c r="O3" s="111"/>
    </row>
    <row r="4" s="103" customFormat="1" ht="40" customHeight="1" spans="1:15">
      <c r="A4" s="59">
        <v>1</v>
      </c>
      <c r="B4" s="113" t="s">
        <v>32</v>
      </c>
      <c r="C4" s="59" t="str">
        <f>_xlfn.DISPIMG("ID_654CE2074224454884D7C4F04A1DB808",1)</f>
        <v>=DISPIMG("ID_654CE2074224454884D7C4F04A1DB808",1)</v>
      </c>
      <c r="D4" s="114" t="s">
        <v>33</v>
      </c>
      <c r="E4" s="59">
        <v>8023486810</v>
      </c>
      <c r="F4" s="114" t="s">
        <v>1265</v>
      </c>
      <c r="G4" s="114" t="s">
        <v>1266</v>
      </c>
      <c r="H4" s="59">
        <v>19.4</v>
      </c>
      <c r="I4" s="59">
        <v>90.5</v>
      </c>
      <c r="J4" s="140" t="s">
        <v>43</v>
      </c>
      <c r="K4" s="141">
        <v>350000</v>
      </c>
      <c r="L4" s="141">
        <v>380000</v>
      </c>
      <c r="M4" s="141" t="s">
        <v>39</v>
      </c>
      <c r="N4" s="68" t="s">
        <v>1267</v>
      </c>
      <c r="O4" s="68" t="s">
        <v>39</v>
      </c>
    </row>
    <row r="5" s="103" customFormat="1" ht="40" customHeight="1" spans="1:15">
      <c r="A5" s="115">
        <v>2</v>
      </c>
      <c r="B5" s="116"/>
      <c r="C5" t="str">
        <f>_xlfn.DISPIMG("ID_C180EAF4349344B8B47021073FD519F3",1)</f>
        <v>=DISPIMG("ID_C180EAF4349344B8B47021073FD519F3",1)</v>
      </c>
      <c r="D5" s="117" t="s">
        <v>45</v>
      </c>
      <c r="E5" s="115">
        <v>1598153984</v>
      </c>
      <c r="F5" s="117" t="s">
        <v>1268</v>
      </c>
      <c r="G5" s="117" t="s">
        <v>1266</v>
      </c>
      <c r="H5" s="115">
        <v>3.1</v>
      </c>
      <c r="I5" s="115">
        <v>39.9</v>
      </c>
      <c r="J5" s="142" t="s">
        <v>43</v>
      </c>
      <c r="K5" s="143">
        <v>5000</v>
      </c>
      <c r="L5" s="143">
        <v>6000</v>
      </c>
      <c r="M5" s="143" t="s">
        <v>39</v>
      </c>
      <c r="N5" s="48" t="s">
        <v>1269</v>
      </c>
      <c r="O5" s="48" t="s">
        <v>1270</v>
      </c>
    </row>
    <row r="6" s="102" customFormat="1" ht="25" customHeight="1" spans="1:15">
      <c r="A6" s="118"/>
      <c r="B6" s="118"/>
      <c r="C6" s="118"/>
      <c r="D6" s="118"/>
      <c r="E6" s="118"/>
      <c r="F6" s="118"/>
      <c r="G6" s="118" t="s">
        <v>1271</v>
      </c>
      <c r="H6" s="119"/>
      <c r="I6" s="119"/>
      <c r="J6" s="118"/>
      <c r="K6" s="118"/>
      <c r="L6" s="118"/>
      <c r="M6" s="118"/>
      <c r="N6" s="118"/>
      <c r="O6" s="118"/>
    </row>
    <row r="7" s="103" customFormat="1" ht="40" customHeight="1" spans="1:15">
      <c r="A7" s="59">
        <v>3</v>
      </c>
      <c r="B7" s="120"/>
      <c r="C7" s="59" t="str">
        <f>_xlfn.DISPIMG("ID_A6675DD95B294FC2ACC30F776E4AB778",1)</f>
        <v>=DISPIMG("ID_A6675DD95B294FC2ACC30F776E4AB778",1)</v>
      </c>
      <c r="D7" s="59" t="s">
        <v>627</v>
      </c>
      <c r="E7" s="59">
        <v>981277009</v>
      </c>
      <c r="F7" s="114" t="s">
        <v>1272</v>
      </c>
      <c r="G7" s="114" t="s">
        <v>1273</v>
      </c>
      <c r="H7" s="59">
        <v>41.2</v>
      </c>
      <c r="I7" s="59">
        <v>1087</v>
      </c>
      <c r="J7" s="140" t="s">
        <v>203</v>
      </c>
      <c r="K7" s="141">
        <v>45000</v>
      </c>
      <c r="L7" s="141">
        <v>60000</v>
      </c>
      <c r="M7" s="144" t="s">
        <v>1274</v>
      </c>
      <c r="N7" s="49" t="s">
        <v>1275</v>
      </c>
      <c r="O7" s="68" t="s">
        <v>1276</v>
      </c>
    </row>
    <row r="8" s="103" customFormat="1" ht="40" customHeight="1" spans="1:15">
      <c r="A8" s="57">
        <v>4</v>
      </c>
      <c r="B8" s="116"/>
      <c r="C8" t="str">
        <f>_xlfn.DISPIMG("ID_E087719546474FE096C56135EBBC5D5A",1)</f>
        <v>=DISPIMG("ID_E087719546474FE096C56135EBBC5D5A",1)</v>
      </c>
      <c r="D8" s="57" t="s">
        <v>434</v>
      </c>
      <c r="E8" s="57" t="s">
        <v>1277</v>
      </c>
      <c r="F8" s="121" t="s">
        <v>1278</v>
      </c>
      <c r="G8" s="121" t="s">
        <v>1279</v>
      </c>
      <c r="H8" s="57">
        <v>39.5</v>
      </c>
      <c r="I8" s="57">
        <v>398.7</v>
      </c>
      <c r="J8" s="145" t="s">
        <v>43</v>
      </c>
      <c r="K8" s="146">
        <v>38000</v>
      </c>
      <c r="L8" s="146">
        <v>58000</v>
      </c>
      <c r="M8" s="146" t="s">
        <v>39</v>
      </c>
      <c r="N8" s="48" t="s">
        <v>1280</v>
      </c>
      <c r="O8" s="66" t="s">
        <v>1281</v>
      </c>
    </row>
    <row r="9" s="103" customFormat="1" ht="40" customHeight="1" spans="1:15">
      <c r="A9" s="59">
        <v>5</v>
      </c>
      <c r="B9" s="120"/>
      <c r="C9" s="59" t="str">
        <f>_xlfn.DISPIMG("ID_2D5765BFE8F6423B87A32A48EFC80740",1)</f>
        <v>=DISPIMG("ID_2D5765BFE8F6423B87A32A48EFC80740",1)</v>
      </c>
      <c r="D9" s="114" t="s">
        <v>942</v>
      </c>
      <c r="E9" s="59">
        <v>264471123</v>
      </c>
      <c r="F9" s="114" t="s">
        <v>1282</v>
      </c>
      <c r="G9" s="114" t="s">
        <v>1283</v>
      </c>
      <c r="H9" s="59">
        <v>22.6</v>
      </c>
      <c r="I9" s="59">
        <v>115.6</v>
      </c>
      <c r="J9" s="140" t="s">
        <v>671</v>
      </c>
      <c r="K9" s="141">
        <v>20000</v>
      </c>
      <c r="L9" s="141">
        <v>30000</v>
      </c>
      <c r="M9" s="144" t="s">
        <v>1284</v>
      </c>
      <c r="N9" s="49" t="s">
        <v>1285</v>
      </c>
      <c r="O9" s="68" t="s">
        <v>1286</v>
      </c>
    </row>
    <row r="10" s="103" customFormat="1" ht="40" customHeight="1" spans="1:15">
      <c r="A10" s="57">
        <v>6</v>
      </c>
      <c r="B10" s="116"/>
      <c r="C10" t="str">
        <f>_xlfn.DISPIMG("ID_ACADAAE5A5B745829E1DB0F922D8698E",1)</f>
        <v>=DISPIMG("ID_ACADAAE5A5B745829E1DB0F922D8698E",1)</v>
      </c>
      <c r="D10" s="57" t="s">
        <v>1287</v>
      </c>
      <c r="E10" s="57">
        <v>800230666</v>
      </c>
      <c r="F10" s="121" t="s">
        <v>1288</v>
      </c>
      <c r="G10" s="121" t="s">
        <v>1289</v>
      </c>
      <c r="H10" s="57">
        <v>3.1</v>
      </c>
      <c r="I10" s="57">
        <v>28.5</v>
      </c>
      <c r="J10" s="145" t="s">
        <v>1069</v>
      </c>
      <c r="K10" s="146">
        <v>4200</v>
      </c>
      <c r="L10" s="146">
        <v>6800</v>
      </c>
      <c r="M10" s="146" t="s">
        <v>1290</v>
      </c>
      <c r="N10" s="48" t="s">
        <v>1291</v>
      </c>
      <c r="O10" s="66" t="s">
        <v>1292</v>
      </c>
    </row>
    <row r="11" s="103" customFormat="1" ht="40" customHeight="1" spans="1:15">
      <c r="A11" s="59">
        <v>7</v>
      </c>
      <c r="B11" s="120"/>
      <c r="C11" s="59" t="str">
        <f>_xlfn.DISPIMG("ID_4A55488DBDAD49579EB233663CB69660",1)</f>
        <v>=DISPIMG("ID_4A55488DBDAD49579EB233663CB69660",1)</v>
      </c>
      <c r="D11" s="59" t="s">
        <v>1293</v>
      </c>
      <c r="E11" s="59">
        <v>268654630</v>
      </c>
      <c r="F11" s="114" t="s">
        <v>1294</v>
      </c>
      <c r="G11" s="114" t="s">
        <v>1295</v>
      </c>
      <c r="H11" s="59">
        <v>20.7</v>
      </c>
      <c r="I11" s="59">
        <v>176.1</v>
      </c>
      <c r="J11" s="140" t="s">
        <v>43</v>
      </c>
      <c r="K11" s="141">
        <v>15000</v>
      </c>
      <c r="L11" s="141">
        <v>22000</v>
      </c>
      <c r="M11" s="144" t="s">
        <v>1296</v>
      </c>
      <c r="N11" s="49" t="s">
        <v>1297</v>
      </c>
      <c r="O11" s="68" t="s">
        <v>1298</v>
      </c>
    </row>
    <row r="12" s="103" customFormat="1" ht="40" customHeight="1" spans="1:15">
      <c r="A12" s="57">
        <v>8</v>
      </c>
      <c r="B12" s="116"/>
      <c r="C12" t="str">
        <f>_xlfn.DISPIMG("ID_86D753D5DE2B472CAA26ACB3512EADAF",1)</f>
        <v>=DISPIMG("ID_86D753D5DE2B472CAA26ACB3512EADAF",1)</v>
      </c>
      <c r="D12" s="57" t="s">
        <v>616</v>
      </c>
      <c r="E12" s="57">
        <v>116774378</v>
      </c>
      <c r="F12" s="121" t="s">
        <v>1299</v>
      </c>
      <c r="G12" s="121" t="s">
        <v>1300</v>
      </c>
      <c r="H12" s="57">
        <v>3.8</v>
      </c>
      <c r="I12" s="57">
        <v>22</v>
      </c>
      <c r="J12" s="145" t="s">
        <v>43</v>
      </c>
      <c r="K12" s="146">
        <v>1200</v>
      </c>
      <c r="L12" s="146">
        <v>2500</v>
      </c>
      <c r="M12" s="146" t="s">
        <v>39</v>
      </c>
      <c r="N12" s="48" t="s">
        <v>1301</v>
      </c>
      <c r="O12" s="66" t="s">
        <v>1302</v>
      </c>
    </row>
    <row r="13" s="103" customFormat="1" ht="40" customHeight="1" spans="1:15">
      <c r="A13" s="59">
        <v>9</v>
      </c>
      <c r="B13" s="120"/>
      <c r="C13" s="59" t="str">
        <f>_xlfn.DISPIMG("ID_8E5686E21EAD4130843B24F51BF31F21",1)</f>
        <v>=DISPIMG("ID_8E5686E21EAD4130843B24F51BF31F21",1)</v>
      </c>
      <c r="D13" s="59" t="s">
        <v>1303</v>
      </c>
      <c r="E13" s="59" t="s">
        <v>1304</v>
      </c>
      <c r="F13" s="114" t="s">
        <v>1305</v>
      </c>
      <c r="G13" s="114" t="s">
        <v>1306</v>
      </c>
      <c r="H13" s="59">
        <v>7.4</v>
      </c>
      <c r="I13" s="59">
        <v>77.5</v>
      </c>
      <c r="J13" s="140" t="s">
        <v>354</v>
      </c>
      <c r="K13" s="141">
        <v>6500</v>
      </c>
      <c r="L13" s="141">
        <v>7000</v>
      </c>
      <c r="M13" s="144" t="s">
        <v>39</v>
      </c>
      <c r="N13" s="49" t="s">
        <v>1307</v>
      </c>
      <c r="O13" s="68" t="s">
        <v>1308</v>
      </c>
    </row>
    <row r="14" s="103" customFormat="1" ht="40" customHeight="1" spans="1:15">
      <c r="A14" s="57">
        <v>10</v>
      </c>
      <c r="B14" s="116"/>
      <c r="C14" t="str">
        <f>_xlfn.DISPIMG("ID_59B5D26571394E658286ACEEB32111CE",1)</f>
        <v>=DISPIMG("ID_59B5D26571394E658286ACEEB32111CE",1)</v>
      </c>
      <c r="D14" s="57" t="s">
        <v>1309</v>
      </c>
      <c r="E14" s="57" t="s">
        <v>1310</v>
      </c>
      <c r="F14" s="121" t="s">
        <v>1311</v>
      </c>
      <c r="G14" s="121" t="s">
        <v>1312</v>
      </c>
      <c r="H14" s="57">
        <v>47.5</v>
      </c>
      <c r="I14" s="57">
        <v>84</v>
      </c>
      <c r="J14" s="145" t="s">
        <v>832</v>
      </c>
      <c r="K14" s="146">
        <v>35000</v>
      </c>
      <c r="L14" s="146">
        <v>39000</v>
      </c>
      <c r="M14" s="146" t="s">
        <v>39</v>
      </c>
      <c r="N14" s="48" t="s">
        <v>1313</v>
      </c>
      <c r="O14" s="66" t="s">
        <v>1314</v>
      </c>
    </row>
    <row r="15" s="102" customFormat="1" ht="25" customHeight="1" spans="1:15">
      <c r="A15" s="122"/>
      <c r="B15" s="122"/>
      <c r="C15" s="122"/>
      <c r="D15" s="122"/>
      <c r="E15" s="122"/>
      <c r="F15" s="122"/>
      <c r="G15" s="123" t="s">
        <v>1315</v>
      </c>
      <c r="H15" s="124"/>
      <c r="I15" s="124"/>
      <c r="J15" s="122"/>
      <c r="K15" s="122"/>
      <c r="L15" s="122"/>
      <c r="M15" s="122"/>
      <c r="N15" s="122"/>
      <c r="O15" s="122"/>
    </row>
    <row r="16" s="103" customFormat="1" ht="40" customHeight="1" spans="1:15">
      <c r="A16" s="57">
        <v>11</v>
      </c>
      <c r="B16" s="57"/>
      <c r="C16" s="33" t="str">
        <f>_xlfn.DISPIMG("ID_612B44CB1D6848CBB0234577403521E6",1)</f>
        <v>=DISPIMG("ID_612B44CB1D6848CBB0234577403521E6",1)</v>
      </c>
      <c r="D16" s="57" t="s">
        <v>694</v>
      </c>
      <c r="E16" s="57" t="s">
        <v>1316</v>
      </c>
      <c r="F16" s="121" t="s">
        <v>1317</v>
      </c>
      <c r="G16" s="121" t="s">
        <v>1318</v>
      </c>
      <c r="H16" s="57">
        <v>16.6</v>
      </c>
      <c r="I16" s="57">
        <v>373.8</v>
      </c>
      <c r="J16" s="145" t="s">
        <v>43</v>
      </c>
      <c r="K16" s="146">
        <v>25000</v>
      </c>
      <c r="L16" s="146">
        <v>35000</v>
      </c>
      <c r="M16" s="146" t="s">
        <v>39</v>
      </c>
      <c r="N16" s="147" t="s">
        <v>1319</v>
      </c>
      <c r="O16" s="66" t="s">
        <v>1320</v>
      </c>
    </row>
    <row r="17" s="103" customFormat="1" ht="40" customHeight="1" spans="1:15">
      <c r="A17" s="59">
        <v>12</v>
      </c>
      <c r="B17" s="120"/>
      <c r="C17" s="38" t="str">
        <f>_xlfn.DISPIMG("ID_30AC8A19BCA44ACEB2336397680E6576",1)</f>
        <v>=DISPIMG("ID_30AC8A19BCA44ACEB2336397680E6576",1)</v>
      </c>
      <c r="D17" s="59" t="s">
        <v>833</v>
      </c>
      <c r="E17" s="59">
        <v>1044861323</v>
      </c>
      <c r="F17" s="114" t="s">
        <v>1321</v>
      </c>
      <c r="G17" s="114" t="s">
        <v>1322</v>
      </c>
      <c r="H17" s="59">
        <v>7.8</v>
      </c>
      <c r="I17" s="59">
        <v>63.1</v>
      </c>
      <c r="J17" s="140" t="s">
        <v>43</v>
      </c>
      <c r="K17" s="141">
        <v>12000</v>
      </c>
      <c r="L17" s="141">
        <v>16000</v>
      </c>
      <c r="M17" s="141" t="s">
        <v>39</v>
      </c>
      <c r="N17" s="49" t="s">
        <v>1323</v>
      </c>
      <c r="O17" s="68" t="s">
        <v>1324</v>
      </c>
    </row>
    <row r="18" s="103" customFormat="1" ht="40" customHeight="1" spans="1:15">
      <c r="A18" s="57">
        <v>13</v>
      </c>
      <c r="B18" s="57"/>
      <c r="C18" s="33" t="str">
        <f>_xlfn.DISPIMG("ID_BDFF3AF9C2294AA489B20ABC23BFEC80",1)</f>
        <v>=DISPIMG("ID_BDFF3AF9C2294AA489B20ABC23BFEC80",1)</v>
      </c>
      <c r="D18" s="57" t="s">
        <v>81</v>
      </c>
      <c r="E18" s="57" t="s">
        <v>1325</v>
      </c>
      <c r="F18" s="121" t="s">
        <v>1326</v>
      </c>
      <c r="G18" s="121" t="s">
        <v>1327</v>
      </c>
      <c r="H18" s="57">
        <v>192.9</v>
      </c>
      <c r="I18" s="57">
        <v>1153.2</v>
      </c>
      <c r="J18" s="145" t="s">
        <v>43</v>
      </c>
      <c r="K18" s="146">
        <v>35000</v>
      </c>
      <c r="L18" s="146">
        <v>60000</v>
      </c>
      <c r="M18" s="148" t="s">
        <v>1328</v>
      </c>
      <c r="N18" s="147" t="s">
        <v>1329</v>
      </c>
      <c r="O18" s="66" t="s">
        <v>1330</v>
      </c>
    </row>
    <row r="19" s="103" customFormat="1" ht="40" customHeight="1" spans="1:15">
      <c r="A19" s="59">
        <v>14</v>
      </c>
      <c r="B19" s="113"/>
      <c r="C19" s="38" t="str">
        <f>_xlfn.DISPIMG("ID_4A52CBE6C67044278DDF916306B282E7",1)</f>
        <v>=DISPIMG("ID_4A52CBE6C67044278DDF916306B282E7",1)</v>
      </c>
      <c r="D19" s="114" t="s">
        <v>411</v>
      </c>
      <c r="E19" s="114" t="s">
        <v>1331</v>
      </c>
      <c r="F19" s="114" t="s">
        <v>1332</v>
      </c>
      <c r="G19" s="114" t="s">
        <v>1333</v>
      </c>
      <c r="H19" s="59">
        <v>29.2</v>
      </c>
      <c r="I19" s="59">
        <v>458.8</v>
      </c>
      <c r="J19" s="140" t="s">
        <v>354</v>
      </c>
      <c r="K19" s="141">
        <v>30000</v>
      </c>
      <c r="L19" s="141">
        <v>40000</v>
      </c>
      <c r="M19" s="141" t="s">
        <v>39</v>
      </c>
      <c r="N19" s="49" t="s">
        <v>1334</v>
      </c>
      <c r="O19" s="68" t="s">
        <v>1335</v>
      </c>
    </row>
    <row r="20" s="103" customFormat="1" ht="40" customHeight="1" spans="1:15">
      <c r="A20" s="57">
        <v>15</v>
      </c>
      <c r="B20" s="57"/>
      <c r="C20" s="33" t="str">
        <f>_xlfn.DISPIMG("ID_1D9773756B9F4E2497E24C113846755A",1)</f>
        <v>=DISPIMG("ID_1D9773756B9F4E2497E24C113846755A",1)</v>
      </c>
      <c r="D20" s="57" t="s">
        <v>126</v>
      </c>
      <c r="E20" s="57">
        <v>9498775645</v>
      </c>
      <c r="F20" s="121" t="s">
        <v>1336</v>
      </c>
      <c r="G20" s="121" t="s">
        <v>1337</v>
      </c>
      <c r="H20" s="57">
        <v>98.3</v>
      </c>
      <c r="I20" s="57">
        <v>1325.2</v>
      </c>
      <c r="J20" s="145" t="s">
        <v>43</v>
      </c>
      <c r="K20" s="146">
        <v>30000</v>
      </c>
      <c r="L20" s="146">
        <v>48000</v>
      </c>
      <c r="M20" s="148" t="s">
        <v>1338</v>
      </c>
      <c r="N20" s="147" t="s">
        <v>1339</v>
      </c>
      <c r="O20" s="66" t="s">
        <v>1340</v>
      </c>
    </row>
    <row r="21" s="103" customFormat="1" ht="40" customHeight="1" spans="1:15">
      <c r="A21" s="59">
        <v>16</v>
      </c>
      <c r="B21" s="120"/>
      <c r="C21" s="38" t="str">
        <f>_xlfn.DISPIMG("ID_326352DD3DBE49E79F67823EC5634466",1)</f>
        <v>=DISPIMG("ID_326352DD3DBE49E79F67823EC5634466",1)</v>
      </c>
      <c r="D21" s="59" t="s">
        <v>854</v>
      </c>
      <c r="E21" s="59" t="s">
        <v>856</v>
      </c>
      <c r="F21" s="114" t="s">
        <v>1341</v>
      </c>
      <c r="G21" s="114" t="s">
        <v>1342</v>
      </c>
      <c r="H21" s="59">
        <v>47.6</v>
      </c>
      <c r="I21" s="59">
        <v>272.8</v>
      </c>
      <c r="J21" s="140" t="s">
        <v>354</v>
      </c>
      <c r="K21" s="141">
        <v>30000</v>
      </c>
      <c r="L21" s="141">
        <v>80000</v>
      </c>
      <c r="M21" s="141" t="s">
        <v>1343</v>
      </c>
      <c r="N21" s="49" t="s">
        <v>1344</v>
      </c>
      <c r="O21" s="68" t="s">
        <v>1345</v>
      </c>
    </row>
    <row r="22" s="103" customFormat="1" ht="40" customHeight="1" spans="1:15">
      <c r="A22" s="57">
        <v>17</v>
      </c>
      <c r="B22" s="57"/>
      <c r="C22" s="33" t="str">
        <f>_xlfn.DISPIMG("ID_1F6039D1EC9A4ED1B5C8363E408EB7BE",1)</f>
        <v>=DISPIMG("ID_1F6039D1EC9A4ED1B5C8363E408EB7BE",1)</v>
      </c>
      <c r="D22" s="57" t="s">
        <v>93</v>
      </c>
      <c r="E22" s="57">
        <v>1036271988</v>
      </c>
      <c r="F22" s="121" t="s">
        <v>1346</v>
      </c>
      <c r="G22" s="121" t="s">
        <v>1347</v>
      </c>
      <c r="H22" s="57">
        <v>96</v>
      </c>
      <c r="I22" s="57">
        <v>680</v>
      </c>
      <c r="J22" s="145" t="s">
        <v>43</v>
      </c>
      <c r="K22" s="146">
        <v>30000</v>
      </c>
      <c r="L22" s="146">
        <v>60000</v>
      </c>
      <c r="M22" s="148" t="s">
        <v>1338</v>
      </c>
      <c r="N22" s="147" t="s">
        <v>1348</v>
      </c>
      <c r="O22" s="66" t="s">
        <v>1349</v>
      </c>
    </row>
    <row r="23" s="103" customFormat="1" ht="40" customHeight="1" spans="1:15">
      <c r="A23" s="59">
        <v>18</v>
      </c>
      <c r="B23" s="120"/>
      <c r="C23" s="38" t="str">
        <f>_xlfn.DISPIMG("ID_28AF013E9BC74A9BB281DFE6F191EB91",1)</f>
        <v>=DISPIMG("ID_28AF013E9BC74A9BB281DFE6F191EB91",1)</v>
      </c>
      <c r="D23" s="59" t="s">
        <v>1350</v>
      </c>
      <c r="E23" s="59">
        <v>1054889287</v>
      </c>
      <c r="F23" s="114" t="s">
        <v>1351</v>
      </c>
      <c r="G23" s="114" t="s">
        <v>1352</v>
      </c>
      <c r="H23" s="59">
        <v>15.3</v>
      </c>
      <c r="I23" s="59">
        <v>96.1</v>
      </c>
      <c r="J23" s="140" t="s">
        <v>43</v>
      </c>
      <c r="K23" s="141">
        <v>20000</v>
      </c>
      <c r="L23" s="141">
        <v>30000</v>
      </c>
      <c r="M23" s="141" t="s">
        <v>39</v>
      </c>
      <c r="N23" s="49" t="s">
        <v>1353</v>
      </c>
      <c r="O23" s="68" t="s">
        <v>1354</v>
      </c>
    </row>
    <row r="24" s="103" customFormat="1" ht="40" customHeight="1" spans="1:15">
      <c r="A24" s="57">
        <v>19</v>
      </c>
      <c r="B24" s="57"/>
      <c r="C24" s="33" t="str">
        <f>_xlfn.DISPIMG("ID_FA8F7ABC3FD04308948A3D7BFA18D1AC",1)</f>
        <v>=DISPIMG("ID_FA8F7ABC3FD04308948A3D7BFA18D1AC",1)</v>
      </c>
      <c r="D24" s="57" t="s">
        <v>114</v>
      </c>
      <c r="E24" s="57">
        <v>9542888505</v>
      </c>
      <c r="F24" s="121" t="s">
        <v>1355</v>
      </c>
      <c r="G24" s="121" t="s">
        <v>1356</v>
      </c>
      <c r="H24" s="57">
        <v>6.5</v>
      </c>
      <c r="I24" s="57">
        <v>119.3</v>
      </c>
      <c r="J24" s="145" t="s">
        <v>43</v>
      </c>
      <c r="K24" s="146">
        <v>6000</v>
      </c>
      <c r="L24" s="146">
        <v>10000</v>
      </c>
      <c r="M24" s="146" t="s">
        <v>39</v>
      </c>
      <c r="N24" s="147" t="s">
        <v>1357</v>
      </c>
      <c r="O24" s="66" t="s">
        <v>1358</v>
      </c>
    </row>
    <row r="25" s="103" customFormat="1" ht="40" customHeight="1" spans="1:15">
      <c r="A25" s="59">
        <v>20</v>
      </c>
      <c r="B25" s="120"/>
      <c r="C25" s="38" t="str">
        <f>_xlfn.DISPIMG("ID_9F98F5572FA143D1A3AA0C7A4A20E102",1)</f>
        <v>=DISPIMG("ID_9F98F5572FA143D1A3AA0C7A4A20E102",1)</v>
      </c>
      <c r="D25" s="59" t="s">
        <v>103</v>
      </c>
      <c r="E25" s="59">
        <v>749565553</v>
      </c>
      <c r="F25" s="114" t="s">
        <v>1359</v>
      </c>
      <c r="G25" s="114" t="s">
        <v>1360</v>
      </c>
      <c r="H25" s="59">
        <v>38.3</v>
      </c>
      <c r="I25" s="59">
        <v>305.4</v>
      </c>
      <c r="J25" s="140" t="s">
        <v>43</v>
      </c>
      <c r="K25" s="141">
        <v>50000</v>
      </c>
      <c r="L25" s="141">
        <v>88000</v>
      </c>
      <c r="M25" s="141" t="s">
        <v>1361</v>
      </c>
      <c r="N25" s="49" t="s">
        <v>1362</v>
      </c>
      <c r="O25" s="68" t="s">
        <v>1363</v>
      </c>
    </row>
    <row r="26" s="103" customFormat="1" ht="40" customHeight="1" spans="1:15">
      <c r="A26" s="57">
        <v>21</v>
      </c>
      <c r="B26" s="57"/>
      <c r="C26" s="33" t="str">
        <f>_xlfn.DISPIMG("ID_C6E0F729476145B1B33570844F7AEF28",1)</f>
        <v>=DISPIMG("ID_C6E0F729476145B1B33570844F7AEF28",1)</v>
      </c>
      <c r="D26" s="57" t="s">
        <v>312</v>
      </c>
      <c r="E26" s="57">
        <v>555577854</v>
      </c>
      <c r="F26" s="121" t="s">
        <v>1364</v>
      </c>
      <c r="G26" s="121" t="s">
        <v>1365</v>
      </c>
      <c r="H26" s="57">
        <v>57.1</v>
      </c>
      <c r="I26" s="57">
        <v>561.8</v>
      </c>
      <c r="J26" s="145" t="s">
        <v>43</v>
      </c>
      <c r="K26" s="146">
        <v>30000</v>
      </c>
      <c r="L26" s="146">
        <v>50000</v>
      </c>
      <c r="M26" s="146" t="s">
        <v>39</v>
      </c>
      <c r="N26" s="147" t="s">
        <v>1366</v>
      </c>
      <c r="O26" s="66" t="s">
        <v>1367</v>
      </c>
    </row>
    <row r="27" s="103" customFormat="1" ht="40" customHeight="1" spans="1:15">
      <c r="A27" s="59">
        <v>22</v>
      </c>
      <c r="B27" s="120"/>
      <c r="C27" s="38" t="str">
        <f>_xlfn.DISPIMG("ID_45364279DDF94FE1A6F8998A67BC42D7",1)</f>
        <v>=DISPIMG("ID_45364279DDF94FE1A6F8998A67BC42D7",1)</v>
      </c>
      <c r="D27" s="59" t="s">
        <v>1368</v>
      </c>
      <c r="E27" s="59">
        <v>979988831</v>
      </c>
      <c r="F27" s="114" t="s">
        <v>1369</v>
      </c>
      <c r="G27" s="114" t="s">
        <v>1370</v>
      </c>
      <c r="H27" s="59">
        <v>21</v>
      </c>
      <c r="I27" s="59">
        <v>237.1</v>
      </c>
      <c r="J27" s="140" t="s">
        <v>43</v>
      </c>
      <c r="K27" s="141">
        <v>20000</v>
      </c>
      <c r="L27" s="141">
        <v>25000</v>
      </c>
      <c r="M27" s="141" t="s">
        <v>39</v>
      </c>
      <c r="N27" s="49" t="s">
        <v>1371</v>
      </c>
      <c r="O27" s="68" t="s">
        <v>1372</v>
      </c>
    </row>
    <row r="28" s="103" customFormat="1" ht="40" customHeight="1" spans="1:15">
      <c r="A28" s="57">
        <v>23</v>
      </c>
      <c r="B28" s="57"/>
      <c r="C28" s="33" t="str">
        <f>_xlfn.DISPIMG("ID_84004700788346389F1F6AFA69A290F1",1)</f>
        <v>=DISPIMG("ID_84004700788346389F1F6AFA69A290F1",1)</v>
      </c>
      <c r="D28" s="57" t="s">
        <v>1373</v>
      </c>
      <c r="E28" s="57">
        <v>802736996</v>
      </c>
      <c r="F28" s="121" t="s">
        <v>1374</v>
      </c>
      <c r="G28" s="121" t="s">
        <v>1375</v>
      </c>
      <c r="H28" s="57">
        <v>20.8</v>
      </c>
      <c r="I28" s="57">
        <v>287.4</v>
      </c>
      <c r="J28" s="145" t="s">
        <v>43</v>
      </c>
      <c r="K28" s="146">
        <v>30000</v>
      </c>
      <c r="L28" s="146">
        <v>45000</v>
      </c>
      <c r="M28" s="146" t="s">
        <v>39</v>
      </c>
      <c r="N28" s="147" t="s">
        <v>1376</v>
      </c>
      <c r="O28" s="66" t="s">
        <v>1377</v>
      </c>
    </row>
    <row r="29" s="103" customFormat="1" ht="40" customHeight="1" spans="1:15">
      <c r="A29" s="59">
        <v>24</v>
      </c>
      <c r="B29" s="120"/>
      <c r="C29" s="38" t="str">
        <f>_xlfn.DISPIMG("ID_C1A2D0C838BA4894A1BB80F9BC752C1C",1)</f>
        <v>=DISPIMG("ID_C1A2D0C838BA4894A1BB80F9BC752C1C",1)</v>
      </c>
      <c r="D29" s="59" t="s">
        <v>445</v>
      </c>
      <c r="E29" s="59">
        <v>740720709</v>
      </c>
      <c r="F29" s="114" t="s">
        <v>1378</v>
      </c>
      <c r="G29" s="114" t="s">
        <v>1379</v>
      </c>
      <c r="H29" s="59">
        <v>20.9</v>
      </c>
      <c r="I29" s="59">
        <v>116.8</v>
      </c>
      <c r="J29" s="140" t="s">
        <v>43</v>
      </c>
      <c r="K29" s="141">
        <v>9400</v>
      </c>
      <c r="L29" s="141">
        <v>15000</v>
      </c>
      <c r="M29" s="141" t="s">
        <v>39</v>
      </c>
      <c r="N29" s="49" t="s">
        <v>1380</v>
      </c>
      <c r="O29" s="68" t="s">
        <v>1381</v>
      </c>
    </row>
    <row r="30" s="103" customFormat="1" ht="40" customHeight="1" spans="1:15">
      <c r="A30" s="57">
        <v>25</v>
      </c>
      <c r="B30" s="57"/>
      <c r="C30" s="33" t="str">
        <f>_xlfn.DISPIMG("ID_529CDB38514E4ECF9C884415EDEEBDA4",1)</f>
        <v>=DISPIMG("ID_529CDB38514E4ECF9C884415EDEEBDA4",1)</v>
      </c>
      <c r="D30" s="57" t="s">
        <v>558</v>
      </c>
      <c r="E30" s="57">
        <v>241012004</v>
      </c>
      <c r="F30" s="121" t="s">
        <v>1382</v>
      </c>
      <c r="G30" s="121" t="s">
        <v>1383</v>
      </c>
      <c r="H30" s="57">
        <v>12.9</v>
      </c>
      <c r="I30" s="57">
        <v>72.1</v>
      </c>
      <c r="J30" s="145" t="s">
        <v>43</v>
      </c>
      <c r="K30" s="146">
        <v>15000</v>
      </c>
      <c r="L30" s="146">
        <v>20000</v>
      </c>
      <c r="M30" s="146" t="s">
        <v>39</v>
      </c>
      <c r="N30" s="147" t="s">
        <v>1384</v>
      </c>
      <c r="O30" s="66" t="s">
        <v>1385</v>
      </c>
    </row>
    <row r="31" s="103" customFormat="1" ht="40" customHeight="1" spans="1:15">
      <c r="A31" s="59">
        <v>26</v>
      </c>
      <c r="B31" s="120"/>
      <c r="C31" s="38" t="str">
        <f>_xlfn.DISPIMG("ID_8A9A6E4E695243EDB4DB28677AC37E76",1)</f>
        <v>=DISPIMG("ID_8A9A6E4E695243EDB4DB28677AC37E76",1)</v>
      </c>
      <c r="D31" s="59" t="s">
        <v>506</v>
      </c>
      <c r="E31" s="59">
        <v>261892938</v>
      </c>
      <c r="F31" s="114" t="s">
        <v>1386</v>
      </c>
      <c r="G31" s="114" t="s">
        <v>1387</v>
      </c>
      <c r="H31" s="59">
        <v>11.2</v>
      </c>
      <c r="I31" s="59">
        <v>113.6</v>
      </c>
      <c r="J31" s="140" t="s">
        <v>43</v>
      </c>
      <c r="K31" s="141">
        <v>8000</v>
      </c>
      <c r="L31" s="141">
        <v>12000</v>
      </c>
      <c r="M31" s="141" t="s">
        <v>39</v>
      </c>
      <c r="N31" s="49" t="s">
        <v>1388</v>
      </c>
      <c r="O31" s="68" t="s">
        <v>1389</v>
      </c>
    </row>
    <row r="32" s="103" customFormat="1" ht="40" customHeight="1" spans="1:15">
      <c r="A32" s="57">
        <v>27</v>
      </c>
      <c r="B32" s="125"/>
      <c r="C32" s="33" t="str">
        <f>_xlfn.DISPIMG("ID_C63D8BEF69054299BD99EFFB82F2FA85",1)</f>
        <v>=DISPIMG("ID_C63D8BEF69054299BD99EFFB82F2FA85",1)</v>
      </c>
      <c r="D32" s="57" t="s">
        <v>1390</v>
      </c>
      <c r="E32" s="57" t="s">
        <v>1391</v>
      </c>
      <c r="F32" s="121" t="s">
        <v>1392</v>
      </c>
      <c r="G32" s="121" t="s">
        <v>1393</v>
      </c>
      <c r="H32" s="57">
        <v>9.6</v>
      </c>
      <c r="I32" s="57">
        <v>32.8</v>
      </c>
      <c r="J32" s="145" t="s">
        <v>715</v>
      </c>
      <c r="K32" s="146">
        <v>13000</v>
      </c>
      <c r="L32" s="146">
        <v>20000</v>
      </c>
      <c r="M32" s="146" t="s">
        <v>39</v>
      </c>
      <c r="N32" s="147" t="s">
        <v>1394</v>
      </c>
      <c r="O32" s="66" t="s">
        <v>1395</v>
      </c>
    </row>
    <row r="33" s="103" customFormat="1" ht="40" customHeight="1" spans="1:15">
      <c r="A33" s="59">
        <v>28</v>
      </c>
      <c r="B33" s="120"/>
      <c r="C33" s="38" t="str">
        <f>_xlfn.DISPIMG("ID_8800038899AD4ADFA16C59953E0E4EFB",1)</f>
        <v>=DISPIMG("ID_8800038899AD4ADFA16C59953E0E4EFB",1)</v>
      </c>
      <c r="D33" s="59" t="s">
        <v>770</v>
      </c>
      <c r="E33" s="59">
        <v>2285022473</v>
      </c>
      <c r="F33" s="114" t="s">
        <v>1396</v>
      </c>
      <c r="G33" s="114" t="s">
        <v>1356</v>
      </c>
      <c r="H33" s="59">
        <v>8.5</v>
      </c>
      <c r="I33" s="59">
        <v>232.1</v>
      </c>
      <c r="J33" s="140" t="s">
        <v>780</v>
      </c>
      <c r="K33" s="141">
        <v>10000</v>
      </c>
      <c r="L33" s="141">
        <v>15000</v>
      </c>
      <c r="M33" s="141" t="s">
        <v>39</v>
      </c>
      <c r="N33" s="49" t="s">
        <v>1397</v>
      </c>
      <c r="O33" s="68" t="s">
        <v>1398</v>
      </c>
    </row>
    <row r="34" s="103" customFormat="1" ht="40" customHeight="1" spans="1:15">
      <c r="A34" s="57">
        <v>29</v>
      </c>
      <c r="B34" s="125"/>
      <c r="C34" s="33" t="str">
        <f>_xlfn.DISPIMG("ID_BD7D2AE1FEEA4B539B8A02E17754BB63",1)</f>
        <v>=DISPIMG("ID_BD7D2AE1FEEA4B539B8A02E17754BB63",1)</v>
      </c>
      <c r="D34" s="57" t="s">
        <v>525</v>
      </c>
      <c r="E34" s="57" t="s">
        <v>1399</v>
      </c>
      <c r="F34" s="121" t="s">
        <v>1400</v>
      </c>
      <c r="G34" s="121" t="s">
        <v>1401</v>
      </c>
      <c r="H34" s="57">
        <v>5.9</v>
      </c>
      <c r="I34" s="57">
        <v>49.4</v>
      </c>
      <c r="J34" s="145" t="s">
        <v>43</v>
      </c>
      <c r="K34" s="146">
        <v>8000</v>
      </c>
      <c r="L34" s="146">
        <v>12000</v>
      </c>
      <c r="M34" s="146" t="s">
        <v>39</v>
      </c>
      <c r="N34" s="147" t="s">
        <v>1402</v>
      </c>
      <c r="O34" s="66" t="s">
        <v>1403</v>
      </c>
    </row>
    <row r="35" s="103" customFormat="1" ht="40" customHeight="1" spans="1:15">
      <c r="A35" s="59">
        <v>30</v>
      </c>
      <c r="B35" s="120"/>
      <c r="C35" s="38" t="str">
        <f>_xlfn.DISPIMG("ID_9340379CCC594621B7F2B67D00B768A5",1)</f>
        <v>=DISPIMG("ID_9340379CCC594621B7F2B67D00B768A5",1)</v>
      </c>
      <c r="D35" s="59" t="s">
        <v>1404</v>
      </c>
      <c r="E35" s="59">
        <v>156892753</v>
      </c>
      <c r="F35" s="114" t="s">
        <v>1405</v>
      </c>
      <c r="G35" s="114" t="s">
        <v>1406</v>
      </c>
      <c r="H35" s="59">
        <v>55.1</v>
      </c>
      <c r="I35" s="59">
        <v>631.6</v>
      </c>
      <c r="J35" s="140" t="s">
        <v>1151</v>
      </c>
      <c r="K35" s="141">
        <v>30000</v>
      </c>
      <c r="L35" s="141">
        <v>46000</v>
      </c>
      <c r="M35" s="141" t="s">
        <v>39</v>
      </c>
      <c r="N35" s="49" t="s">
        <v>1407</v>
      </c>
      <c r="O35" s="68" t="s">
        <v>1408</v>
      </c>
    </row>
    <row r="36" s="103" customFormat="1" ht="40" customHeight="1" spans="1:15">
      <c r="A36" s="57">
        <v>31</v>
      </c>
      <c r="B36" s="125"/>
      <c r="C36" s="33" t="str">
        <f>_xlfn.DISPIMG("ID_695B8DFF478E4C1EB8901E8CE595ADEE",1)</f>
        <v>=DISPIMG("ID_695B8DFF478E4C1EB8901E8CE595ADEE",1)</v>
      </c>
      <c r="D36" s="57" t="s">
        <v>1409</v>
      </c>
      <c r="E36" s="57">
        <v>1057334689</v>
      </c>
      <c r="F36" s="121" t="s">
        <v>1410</v>
      </c>
      <c r="G36" s="121" t="s">
        <v>1411</v>
      </c>
      <c r="H36" s="57">
        <v>78.1</v>
      </c>
      <c r="I36" s="57">
        <v>394.7</v>
      </c>
      <c r="J36" s="145" t="s">
        <v>43</v>
      </c>
      <c r="K36" s="146">
        <v>15000</v>
      </c>
      <c r="L36" s="146">
        <v>43000</v>
      </c>
      <c r="M36" s="146" t="s">
        <v>39</v>
      </c>
      <c r="N36" s="147" t="s">
        <v>1412</v>
      </c>
      <c r="O36" s="66" t="s">
        <v>1413</v>
      </c>
    </row>
    <row r="37" s="103" customFormat="1" ht="40" customHeight="1" spans="1:15">
      <c r="A37" s="59">
        <v>32</v>
      </c>
      <c r="B37" s="120"/>
      <c r="C37" s="38" t="str">
        <f>_xlfn.DISPIMG("ID_B1B5E1DE96534F36AC8A42A1B3B269DA",1)</f>
        <v>=DISPIMG("ID_B1B5E1DE96534F36AC8A42A1B3B269DA",1)</v>
      </c>
      <c r="D37" s="59" t="s">
        <v>1414</v>
      </c>
      <c r="E37" s="59">
        <v>626868894</v>
      </c>
      <c r="F37" s="114" t="s">
        <v>1415</v>
      </c>
      <c r="G37" s="114" t="s">
        <v>1416</v>
      </c>
      <c r="H37" s="59">
        <v>49.3</v>
      </c>
      <c r="I37" s="59">
        <v>395.3</v>
      </c>
      <c r="J37" s="140" t="s">
        <v>43</v>
      </c>
      <c r="K37" s="141">
        <v>15000</v>
      </c>
      <c r="L37" s="141">
        <v>25000</v>
      </c>
      <c r="M37" s="141" t="s">
        <v>39</v>
      </c>
      <c r="N37" s="49" t="s">
        <v>1417</v>
      </c>
      <c r="O37" s="68" t="s">
        <v>1418</v>
      </c>
    </row>
    <row r="38" s="102" customFormat="1" ht="25" customHeight="1" spans="1:15">
      <c r="A38" s="126"/>
      <c r="B38" s="126"/>
      <c r="C38" s="126"/>
      <c r="D38" s="126"/>
      <c r="E38" s="126"/>
      <c r="F38" s="126"/>
      <c r="G38" s="127" t="s">
        <v>1419</v>
      </c>
      <c r="H38" s="128"/>
      <c r="I38" s="128"/>
      <c r="J38" s="126"/>
      <c r="K38" s="126"/>
      <c r="L38" s="126"/>
      <c r="M38" s="126"/>
      <c r="N38" s="126"/>
      <c r="O38" s="126"/>
    </row>
    <row r="39" s="103" customFormat="1" ht="40" customHeight="1" spans="1:15">
      <c r="A39" s="57">
        <v>33</v>
      </c>
      <c r="B39" s="116"/>
      <c r="C39" s="33" t="str">
        <f>_xlfn.DISPIMG("ID_40729C90AA504E43B7F3045BA84F64C8",1)</f>
        <v>=DISPIMG("ID_40729C90AA504E43B7F3045BA84F64C8",1)</v>
      </c>
      <c r="D39" s="57" t="s">
        <v>1063</v>
      </c>
      <c r="E39" s="57">
        <v>884990145</v>
      </c>
      <c r="F39" s="121" t="s">
        <v>1420</v>
      </c>
      <c r="G39" s="121" t="s">
        <v>1421</v>
      </c>
      <c r="H39" s="57">
        <v>126.8</v>
      </c>
      <c r="I39" s="57">
        <v>1172.6</v>
      </c>
      <c r="J39" s="32" t="s">
        <v>1069</v>
      </c>
      <c r="K39" s="146">
        <v>96000</v>
      </c>
      <c r="L39" s="146">
        <v>120000</v>
      </c>
      <c r="M39" s="146" t="s">
        <v>39</v>
      </c>
      <c r="N39" s="48" t="s">
        <v>1422</v>
      </c>
      <c r="O39" s="66" t="s">
        <v>1423</v>
      </c>
    </row>
    <row r="40" s="103" customFormat="1" ht="40" customHeight="1" spans="1:15">
      <c r="A40" s="59">
        <v>34</v>
      </c>
      <c r="B40" s="59"/>
      <c r="C40" s="38" t="str">
        <f>_xlfn.DISPIMG("ID_6C0A345DE04347D6A186BB615681C6BE",1)</f>
        <v>=DISPIMG("ID_6C0A345DE04347D6A186BB615681C6BE",1)</v>
      </c>
      <c r="D40" s="59" t="s">
        <v>1158</v>
      </c>
      <c r="E40" s="114" t="s">
        <v>1424</v>
      </c>
      <c r="F40" s="114" t="s">
        <v>1425</v>
      </c>
      <c r="G40" s="114" t="s">
        <v>1426</v>
      </c>
      <c r="H40" s="59">
        <v>122</v>
      </c>
      <c r="I40" s="59">
        <v>1364.7</v>
      </c>
      <c r="J40" s="140" t="s">
        <v>1164</v>
      </c>
      <c r="K40" s="141">
        <v>68000</v>
      </c>
      <c r="L40" s="141">
        <v>78000</v>
      </c>
      <c r="M40" s="144" t="s">
        <v>39</v>
      </c>
      <c r="N40" s="49" t="s">
        <v>1427</v>
      </c>
      <c r="O40" s="49" t="s">
        <v>1428</v>
      </c>
    </row>
    <row r="41" s="103" customFormat="1" ht="40" customHeight="1" spans="1:15">
      <c r="A41" s="57">
        <v>35</v>
      </c>
      <c r="B41" s="57"/>
      <c r="C41" s="33" t="str">
        <f>_xlfn.DISPIMG("ID_EBD2631FCAEC4FDD92F0E226BE26ACCF",1)</f>
        <v>=DISPIMG("ID_EBD2631FCAEC4FDD92F0E226BE26ACCF",1)</v>
      </c>
      <c r="D41" s="57" t="s">
        <v>475</v>
      </c>
      <c r="E41" s="57">
        <v>859489967</v>
      </c>
      <c r="F41" s="121" t="s">
        <v>1429</v>
      </c>
      <c r="G41" s="121" t="s">
        <v>1430</v>
      </c>
      <c r="H41" s="57">
        <v>5.6</v>
      </c>
      <c r="I41" s="57">
        <v>81.6</v>
      </c>
      <c r="J41" s="145" t="s">
        <v>43</v>
      </c>
      <c r="K41" s="146">
        <v>4000</v>
      </c>
      <c r="L41" s="146">
        <v>6800</v>
      </c>
      <c r="M41" s="146" t="s">
        <v>39</v>
      </c>
      <c r="N41" s="48" t="s">
        <v>1431</v>
      </c>
      <c r="O41" s="66" t="s">
        <v>1432</v>
      </c>
    </row>
    <row r="42" s="103" customFormat="1" ht="40" customHeight="1" spans="1:15">
      <c r="A42" s="59">
        <v>36</v>
      </c>
      <c r="B42" s="59"/>
      <c r="C42" s="38" t="str">
        <f>_xlfn.DISPIMG("ID_B1795C0DC3FD4663ABD5DF9C682C22A7",1)</f>
        <v>=DISPIMG("ID_B1795C0DC3FD4663ABD5DF9C682C22A7",1)</v>
      </c>
      <c r="D42" s="59" t="s">
        <v>1433</v>
      </c>
      <c r="E42" s="59">
        <v>1180596864</v>
      </c>
      <c r="F42" s="114" t="s">
        <v>1434</v>
      </c>
      <c r="G42" s="114" t="s">
        <v>1435</v>
      </c>
      <c r="H42" s="59">
        <v>2.2</v>
      </c>
      <c r="I42" s="59">
        <v>31.1</v>
      </c>
      <c r="J42" s="140" t="s">
        <v>43</v>
      </c>
      <c r="K42" s="141">
        <v>4000</v>
      </c>
      <c r="L42" s="141">
        <v>6000</v>
      </c>
      <c r="M42" s="141" t="s">
        <v>39</v>
      </c>
      <c r="N42" s="49" t="s">
        <v>1436</v>
      </c>
      <c r="O42" s="68" t="s">
        <v>1437</v>
      </c>
    </row>
    <row r="43" s="103" customFormat="1" ht="40" customHeight="1" spans="1:15">
      <c r="A43" s="57">
        <v>37</v>
      </c>
      <c r="B43" s="57"/>
      <c r="C43" s="33" t="str">
        <f>_xlfn.DISPIMG("ID_CF3E9C04E2EB483DB964FAB1C49DFD49",1)</f>
        <v>=DISPIMG("ID_CF3E9C04E2EB483DB964FAB1C49DFD49",1)</v>
      </c>
      <c r="D43" s="57" t="s">
        <v>790</v>
      </c>
      <c r="E43" s="57">
        <v>245666155</v>
      </c>
      <c r="F43" s="121" t="s">
        <v>1438</v>
      </c>
      <c r="G43" s="121" t="s">
        <v>1439</v>
      </c>
      <c r="H43" s="57">
        <v>28.2</v>
      </c>
      <c r="I43" s="57">
        <v>321.5</v>
      </c>
      <c r="J43" s="145" t="s">
        <v>43</v>
      </c>
      <c r="K43" s="146">
        <v>28000</v>
      </c>
      <c r="L43" s="146">
        <v>38000</v>
      </c>
      <c r="M43" s="146" t="s">
        <v>39</v>
      </c>
      <c r="N43" s="48" t="s">
        <v>1440</v>
      </c>
      <c r="O43" s="66" t="s">
        <v>1441</v>
      </c>
    </row>
    <row r="44" s="103" customFormat="1" ht="40" customHeight="1" spans="1:15">
      <c r="A44" s="59">
        <v>38</v>
      </c>
      <c r="B44" s="59"/>
      <c r="C44" s="38" t="str">
        <f>_xlfn.DISPIMG("ID_3DC8C9DC7D2A40A182F096AE2C13FE48",1)</f>
        <v>=DISPIMG("ID_3DC8C9DC7D2A40A182F096AE2C13FE48",1)</v>
      </c>
      <c r="D44" s="59" t="s">
        <v>1442</v>
      </c>
      <c r="E44" s="59">
        <v>345792259</v>
      </c>
      <c r="F44" s="114" t="s">
        <v>1443</v>
      </c>
      <c r="G44" s="114" t="s">
        <v>1444</v>
      </c>
      <c r="H44" s="59">
        <v>18.1</v>
      </c>
      <c r="I44" s="59">
        <v>119.1</v>
      </c>
      <c r="J44" s="140" t="s">
        <v>43</v>
      </c>
      <c r="K44" s="141">
        <v>10000</v>
      </c>
      <c r="L44" s="141">
        <v>68000</v>
      </c>
      <c r="M44" s="141" t="s">
        <v>39</v>
      </c>
      <c r="N44" s="49" t="s">
        <v>1445</v>
      </c>
      <c r="O44" s="68" t="s">
        <v>1446</v>
      </c>
    </row>
    <row r="45" s="103" customFormat="1" ht="40" customHeight="1" spans="1:15">
      <c r="A45" s="57">
        <v>39</v>
      </c>
      <c r="B45" s="57"/>
      <c r="C45" s="33" t="str">
        <f>_xlfn.DISPIMG("ID_5D30AC2FB77E462F933F8BAFB9E4736D",1)</f>
        <v>=DISPIMG("ID_5D30AC2FB77E462F933F8BAFB9E4736D",1)</v>
      </c>
      <c r="D45" s="57" t="s">
        <v>683</v>
      </c>
      <c r="E45" s="57">
        <v>890803218</v>
      </c>
      <c r="F45" s="121" t="s">
        <v>1447</v>
      </c>
      <c r="G45" s="121" t="s">
        <v>1448</v>
      </c>
      <c r="H45" s="57">
        <v>53.9</v>
      </c>
      <c r="I45" s="57">
        <v>606.9</v>
      </c>
      <c r="J45" s="145" t="s">
        <v>43</v>
      </c>
      <c r="K45" s="146">
        <v>28000</v>
      </c>
      <c r="L45" s="146">
        <v>38000</v>
      </c>
      <c r="M45" s="146" t="s">
        <v>39</v>
      </c>
      <c r="N45" s="48" t="s">
        <v>1449</v>
      </c>
      <c r="O45" s="66" t="s">
        <v>1450</v>
      </c>
    </row>
    <row r="46" s="103" customFormat="1" ht="40" customHeight="1" spans="1:15">
      <c r="A46" s="59">
        <v>40</v>
      </c>
      <c r="B46" s="59"/>
      <c r="C46" s="38" t="str">
        <f>_xlfn.DISPIMG("ID_69A1947915674D9CB0631F5D4C3CDFDE",1)</f>
        <v>=DISPIMG("ID_69A1947915674D9CB0631F5D4C3CDFDE",1)</v>
      </c>
      <c r="D46" s="59" t="s">
        <v>170</v>
      </c>
      <c r="E46" s="59">
        <v>9568993287</v>
      </c>
      <c r="F46" s="114" t="s">
        <v>1451</v>
      </c>
      <c r="G46" s="114" t="s">
        <v>1439</v>
      </c>
      <c r="H46" s="59">
        <v>36.5</v>
      </c>
      <c r="I46" s="59">
        <v>372.1</v>
      </c>
      <c r="J46" s="140" t="s">
        <v>43</v>
      </c>
      <c r="K46" s="141">
        <v>20000</v>
      </c>
      <c r="L46" s="141">
        <v>40000</v>
      </c>
      <c r="M46" s="141" t="s">
        <v>39</v>
      </c>
      <c r="N46" s="49" t="s">
        <v>1452</v>
      </c>
      <c r="O46" s="68" t="s">
        <v>1453</v>
      </c>
    </row>
    <row r="47" s="103" customFormat="1" ht="40" customHeight="1" spans="1:15">
      <c r="A47" s="57">
        <v>41</v>
      </c>
      <c r="B47" s="57"/>
      <c r="C47" s="33" t="str">
        <f>_xlfn.DISPIMG("ID_27EB36AAD13A4521B8B8387330DCAD41",1)</f>
        <v>=DISPIMG("ID_27EB36AAD13A4521B8B8387330DCAD41",1)</v>
      </c>
      <c r="D47" s="57" t="s">
        <v>1454</v>
      </c>
      <c r="E47" s="57">
        <v>457576076</v>
      </c>
      <c r="F47" s="121" t="s">
        <v>1455</v>
      </c>
      <c r="G47" s="121" t="s">
        <v>1456</v>
      </c>
      <c r="H47" s="57">
        <v>196.2</v>
      </c>
      <c r="I47" s="57">
        <v>1832.9</v>
      </c>
      <c r="J47" s="145" t="s">
        <v>43</v>
      </c>
      <c r="K47" s="146">
        <v>40000</v>
      </c>
      <c r="L47" s="146">
        <v>60000</v>
      </c>
      <c r="M47" s="146" t="s">
        <v>39</v>
      </c>
      <c r="N47" s="48" t="s">
        <v>1457</v>
      </c>
      <c r="O47" s="66" t="s">
        <v>1458</v>
      </c>
    </row>
    <row r="48" s="102" customFormat="1" ht="25" customHeight="1" spans="1:15">
      <c r="A48" s="129"/>
      <c r="B48" s="129"/>
      <c r="C48" s="129"/>
      <c r="D48" s="129"/>
      <c r="E48" s="129"/>
      <c r="F48" s="129"/>
      <c r="G48" s="130" t="s">
        <v>1459</v>
      </c>
      <c r="H48" s="131"/>
      <c r="I48" s="131"/>
      <c r="J48" s="129"/>
      <c r="K48" s="129"/>
      <c r="L48" s="129"/>
      <c r="M48" s="129"/>
      <c r="N48" s="129"/>
      <c r="O48" s="129"/>
    </row>
    <row r="49" s="103" customFormat="1" ht="40" customHeight="1" spans="1:15">
      <c r="A49" s="59">
        <v>42</v>
      </c>
      <c r="B49" s="120"/>
      <c r="C49" s="38" t="str">
        <f>_xlfn.DISPIMG("ID_1342947BE7894E3E8205ACD75702691A",1)</f>
        <v>=DISPIMG("ID_1342947BE7894E3E8205ACD75702691A",1)</v>
      </c>
      <c r="D49" s="59" t="s">
        <v>68</v>
      </c>
      <c r="E49" s="59">
        <v>2901261441</v>
      </c>
      <c r="F49" s="114" t="s">
        <v>1460</v>
      </c>
      <c r="G49" s="114" t="s">
        <v>1461</v>
      </c>
      <c r="H49" s="59">
        <v>136.6</v>
      </c>
      <c r="I49" s="59">
        <v>745.6</v>
      </c>
      <c r="J49" s="140" t="s">
        <v>43</v>
      </c>
      <c r="K49" s="141">
        <v>150000</v>
      </c>
      <c r="L49" s="141" t="s">
        <v>1462</v>
      </c>
      <c r="M49" s="141" t="s">
        <v>39</v>
      </c>
      <c r="N49" s="49" t="s">
        <v>1463</v>
      </c>
      <c r="O49" s="68" t="s">
        <v>1464</v>
      </c>
    </row>
    <row r="50" s="103" customFormat="1" ht="40" customHeight="1" spans="1:15">
      <c r="A50" s="57">
        <v>43</v>
      </c>
      <c r="B50" s="57"/>
      <c r="C50" s="33" t="str">
        <f>_xlfn.DISPIMG("ID_D9CE992367B2406F818344C9598E8010",1)</f>
        <v>=DISPIMG("ID_D9CE992367B2406F818344C9598E8010",1)</v>
      </c>
      <c r="D50" s="57" t="s">
        <v>422</v>
      </c>
      <c r="E50" s="57">
        <v>738929455</v>
      </c>
      <c r="F50" s="121" t="s">
        <v>1465</v>
      </c>
      <c r="G50" s="121" t="s">
        <v>1466</v>
      </c>
      <c r="H50" s="57">
        <v>2.4</v>
      </c>
      <c r="I50" s="57">
        <v>25.5</v>
      </c>
      <c r="J50" s="145" t="s">
        <v>43</v>
      </c>
      <c r="K50" s="146">
        <v>3000</v>
      </c>
      <c r="L50" s="146">
        <v>6000</v>
      </c>
      <c r="M50" s="146" t="s">
        <v>39</v>
      </c>
      <c r="N50" s="48" t="s">
        <v>1467</v>
      </c>
      <c r="O50" s="66" t="s">
        <v>1468</v>
      </c>
    </row>
    <row r="51" s="102" customFormat="1" ht="25" customHeight="1" spans="1:15">
      <c r="A51" s="132"/>
      <c r="B51" s="132"/>
      <c r="C51" s="132"/>
      <c r="D51" s="132"/>
      <c r="E51" s="132"/>
      <c r="F51" s="132"/>
      <c r="G51" s="133" t="s">
        <v>1469</v>
      </c>
      <c r="H51" s="134"/>
      <c r="I51" s="134"/>
      <c r="J51" s="132"/>
      <c r="K51" s="132"/>
      <c r="L51" s="132"/>
      <c r="M51" s="132"/>
      <c r="N51" s="132"/>
      <c r="O51" s="132"/>
    </row>
    <row r="52" s="103" customFormat="1" ht="40" customHeight="1" spans="1:15">
      <c r="A52" s="57">
        <v>44</v>
      </c>
      <c r="B52" s="116"/>
      <c r="C52" s="33" t="str">
        <f>_xlfn.DISPIMG("ID_D5FE48C52ECF440FAB04549CFE2A1CE4",1)</f>
        <v>=DISPIMG("ID_D5FE48C52ECF440FAB04549CFE2A1CE4",1)</v>
      </c>
      <c r="D52" s="57" t="s">
        <v>217</v>
      </c>
      <c r="E52" s="57">
        <v>9514015310</v>
      </c>
      <c r="F52" s="121" t="s">
        <v>1470</v>
      </c>
      <c r="G52" s="121" t="s">
        <v>1471</v>
      </c>
      <c r="H52" s="57">
        <v>10</v>
      </c>
      <c r="I52" s="57">
        <v>50.2</v>
      </c>
      <c r="J52" s="145" t="s">
        <v>43</v>
      </c>
      <c r="K52" s="146">
        <v>15000</v>
      </c>
      <c r="L52" s="146">
        <v>30000</v>
      </c>
      <c r="M52" s="146" t="s">
        <v>39</v>
      </c>
      <c r="N52" s="48" t="s">
        <v>1472</v>
      </c>
      <c r="O52" s="66" t="s">
        <v>1473</v>
      </c>
    </row>
    <row r="53" s="103" customFormat="1" ht="40" customHeight="1" spans="1:15">
      <c r="A53" s="59">
        <v>45</v>
      </c>
      <c r="B53" s="120"/>
      <c r="C53" s="38" t="str">
        <f>_xlfn.DISPIMG("ID_82BAEAD4A8B04B6A86EA0B945ACFB8ED",1)</f>
        <v>=DISPIMG("ID_82BAEAD4A8B04B6A86EA0B945ACFB8ED",1)</v>
      </c>
      <c r="D53" s="40" t="s">
        <v>1474</v>
      </c>
      <c r="E53" s="37">
        <v>117956154</v>
      </c>
      <c r="F53" s="135" t="s">
        <v>1475</v>
      </c>
      <c r="G53" s="114" t="s">
        <v>1471</v>
      </c>
      <c r="H53" s="59">
        <v>0.94</v>
      </c>
      <c r="I53" s="59">
        <v>3</v>
      </c>
      <c r="J53" s="140" t="s">
        <v>43</v>
      </c>
      <c r="K53" s="141" t="s">
        <v>1476</v>
      </c>
      <c r="L53" s="141" t="s">
        <v>1476</v>
      </c>
      <c r="M53" s="141" t="s">
        <v>39</v>
      </c>
      <c r="N53" s="49" t="s">
        <v>1477</v>
      </c>
      <c r="O53" s="68" t="s">
        <v>1478</v>
      </c>
    </row>
    <row r="54" s="103" customFormat="1" ht="40" customHeight="1" spans="1:15">
      <c r="A54" s="57">
        <v>46</v>
      </c>
      <c r="B54" s="116"/>
      <c r="C54" s="33" t="str">
        <f>_xlfn.DISPIMG("ID_AAD41A3608BA499BB3B2FD1402694A71",1)</f>
        <v>=DISPIMG("ID_AAD41A3608BA499BB3B2FD1402694A71",1)</v>
      </c>
      <c r="D54" s="57" t="s">
        <v>1479</v>
      </c>
      <c r="E54" s="57">
        <v>116310128</v>
      </c>
      <c r="F54" s="121" t="s">
        <v>1480</v>
      </c>
      <c r="G54" s="121" t="s">
        <v>284</v>
      </c>
      <c r="H54" s="57">
        <v>2.1</v>
      </c>
      <c r="I54" s="57">
        <v>5.9</v>
      </c>
      <c r="J54" s="145" t="s">
        <v>43</v>
      </c>
      <c r="K54" s="146">
        <v>8000</v>
      </c>
      <c r="L54" s="146">
        <v>15000</v>
      </c>
      <c r="M54" s="146" t="s">
        <v>39</v>
      </c>
      <c r="N54" s="48" t="s">
        <v>1481</v>
      </c>
      <c r="O54" s="66" t="s">
        <v>1482</v>
      </c>
    </row>
    <row r="55" s="103" customFormat="1" ht="40" customHeight="1" spans="1:15">
      <c r="A55" s="59">
        <v>47</v>
      </c>
      <c r="B55" s="120"/>
      <c r="C55" s="38" t="str">
        <f>_xlfn.DISPIMG("ID_31BDFBC9D72246ECAA6021AAAD17785C",1)</f>
        <v>=DISPIMG("ID_31BDFBC9D72246ECAA6021AAAD17785C",1)</v>
      </c>
      <c r="D55" s="40" t="s">
        <v>1483</v>
      </c>
      <c r="E55" s="37">
        <v>6764017209</v>
      </c>
      <c r="F55" s="135" t="s">
        <v>1484</v>
      </c>
      <c r="G55" s="114" t="s">
        <v>284</v>
      </c>
      <c r="H55" s="59">
        <v>1.9</v>
      </c>
      <c r="I55" s="59">
        <v>5.3</v>
      </c>
      <c r="J55" s="140" t="s">
        <v>43</v>
      </c>
      <c r="K55" s="141">
        <v>8000</v>
      </c>
      <c r="L55" s="141">
        <v>15000</v>
      </c>
      <c r="M55" s="141" t="s">
        <v>39</v>
      </c>
      <c r="N55" s="49" t="s">
        <v>1485</v>
      </c>
      <c r="O55" s="49" t="s">
        <v>1486</v>
      </c>
    </row>
    <row r="56" s="103" customFormat="1" ht="40" customHeight="1" spans="1:15">
      <c r="A56" s="57">
        <v>48</v>
      </c>
      <c r="B56" s="116"/>
      <c r="C56" s="33" t="str">
        <f>_xlfn.DISPIMG("ID_F652C207402A4EFB961D0799CB123FE5",1)</f>
        <v>=DISPIMG("ID_F652C207402A4EFB961D0799CB123FE5",1)</v>
      </c>
      <c r="D56" s="57" t="s">
        <v>1487</v>
      </c>
      <c r="E56" s="57" t="s">
        <v>1488</v>
      </c>
      <c r="F56" s="121" t="s">
        <v>1489</v>
      </c>
      <c r="G56" s="121" t="s">
        <v>284</v>
      </c>
      <c r="H56" s="57">
        <v>1.7</v>
      </c>
      <c r="I56" s="57">
        <v>20.1</v>
      </c>
      <c r="J56" s="145" t="s">
        <v>43</v>
      </c>
      <c r="K56" s="146">
        <v>8000</v>
      </c>
      <c r="L56" s="146">
        <v>15000</v>
      </c>
      <c r="M56" s="146" t="s">
        <v>39</v>
      </c>
      <c r="N56" s="48" t="s">
        <v>1490</v>
      </c>
      <c r="O56" s="66" t="s">
        <v>1491</v>
      </c>
    </row>
    <row r="57" s="103" customFormat="1" ht="40" customHeight="1" spans="1:15">
      <c r="A57" s="59">
        <v>49</v>
      </c>
      <c r="B57" s="120"/>
      <c r="C57" s="38" t="str">
        <f>_xlfn.DISPIMG("ID_3E72A807193F48B38BC17C31E79BEC19",1)</f>
        <v>=DISPIMG("ID_3E72A807193F48B38BC17C31E79BEC19",1)</v>
      </c>
      <c r="D57" s="40" t="s">
        <v>239</v>
      </c>
      <c r="E57" s="37">
        <v>1137675400</v>
      </c>
      <c r="F57" s="135" t="s">
        <v>1492</v>
      </c>
      <c r="G57" s="114" t="s">
        <v>1493</v>
      </c>
      <c r="H57" s="59">
        <v>1.4</v>
      </c>
      <c r="I57" s="59">
        <v>4.8</v>
      </c>
      <c r="J57" s="140" t="s">
        <v>43</v>
      </c>
      <c r="K57" s="141">
        <v>3000</v>
      </c>
      <c r="L57" s="141">
        <v>20000</v>
      </c>
      <c r="M57" s="141" t="s">
        <v>39</v>
      </c>
      <c r="N57" s="49" t="s">
        <v>1494</v>
      </c>
      <c r="O57" s="68" t="s">
        <v>1495</v>
      </c>
    </row>
    <row r="58" s="103" customFormat="1" ht="40" customHeight="1" spans="1:15">
      <c r="A58" s="57">
        <v>50</v>
      </c>
      <c r="B58" s="116"/>
      <c r="C58" s="33" t="str">
        <f>_xlfn.DISPIMG("ID_5E08D9A73757491D80EC53CF0B8532CB",1)</f>
        <v>=DISPIMG("ID_5E08D9A73757491D80EC53CF0B8532CB",1)</v>
      </c>
      <c r="D58" s="57" t="s">
        <v>1496</v>
      </c>
      <c r="E58" s="57">
        <v>8330102030</v>
      </c>
      <c r="F58" s="121" t="s">
        <v>1497</v>
      </c>
      <c r="G58" s="121" t="s">
        <v>1498</v>
      </c>
      <c r="H58" s="57">
        <v>1.9</v>
      </c>
      <c r="I58" s="57">
        <v>4.6</v>
      </c>
      <c r="J58" s="145" t="s">
        <v>43</v>
      </c>
      <c r="K58" s="146">
        <v>3000</v>
      </c>
      <c r="L58" s="146">
        <v>6000</v>
      </c>
      <c r="M58" s="146" t="s">
        <v>39</v>
      </c>
      <c r="N58" s="48" t="s">
        <v>1499</v>
      </c>
      <c r="O58" s="66" t="s">
        <v>1500</v>
      </c>
    </row>
    <row r="59" s="103" customFormat="1" ht="40" customHeight="1" spans="1:15">
      <c r="A59" s="59">
        <v>51</v>
      </c>
      <c r="B59" s="120"/>
      <c r="C59" s="38" t="str">
        <f>_xlfn.DISPIMG("ID_5A891D8FCD964649A8E4EEEAD62562F8",1)</f>
        <v>=DISPIMG("ID_5A891D8FCD964649A8E4EEEAD62562F8",1)</v>
      </c>
      <c r="D59" s="40" t="s">
        <v>1501</v>
      </c>
      <c r="E59" s="37">
        <v>2609821210</v>
      </c>
      <c r="F59" s="135" t="s">
        <v>1502</v>
      </c>
      <c r="G59" s="114" t="s">
        <v>1503</v>
      </c>
      <c r="H59" s="59">
        <v>13.2</v>
      </c>
      <c r="I59" s="59">
        <v>110</v>
      </c>
      <c r="J59" s="140" t="s">
        <v>43</v>
      </c>
      <c r="K59" s="141">
        <v>5732</v>
      </c>
      <c r="L59" s="141">
        <v>12068</v>
      </c>
      <c r="M59" s="141" t="s">
        <v>1504</v>
      </c>
      <c r="N59" s="49" t="s">
        <v>1505</v>
      </c>
      <c r="O59" s="68" t="s">
        <v>1506</v>
      </c>
    </row>
    <row r="60" s="103" customFormat="1" ht="40" customHeight="1" spans="1:15">
      <c r="A60" s="136">
        <v>52</v>
      </c>
      <c r="B60" s="137"/>
      <c r="C60" s="44" t="str">
        <f>_xlfn.DISPIMG("ID_401706D6110241AF85A23925E986506A",1)</f>
        <v>=DISPIMG("ID_401706D6110241AF85A23925E986506A",1)</v>
      </c>
      <c r="D60" s="136" t="s">
        <v>1507</v>
      </c>
      <c r="E60" s="136">
        <v>2918257134</v>
      </c>
      <c r="F60" s="138" t="s">
        <v>1508</v>
      </c>
      <c r="G60" s="138" t="s">
        <v>1509</v>
      </c>
      <c r="H60" s="136">
        <v>5.7</v>
      </c>
      <c r="I60" s="136">
        <v>32.2</v>
      </c>
      <c r="J60" s="149" t="s">
        <v>43</v>
      </c>
      <c r="K60" s="150">
        <v>5000</v>
      </c>
      <c r="L60" s="150">
        <v>6500</v>
      </c>
      <c r="M60" s="150" t="s">
        <v>1510</v>
      </c>
      <c r="N60" s="50" t="s">
        <v>1511</v>
      </c>
      <c r="O60" s="151" t="s">
        <v>1512</v>
      </c>
    </row>
  </sheetData>
  <autoFilter xmlns:etc="http://www.wps.cn/officeDocument/2017/etCustomData" ref="A2:O60" etc:filterBottomFollowUsedRange="0">
    <extLst/>
  </autoFilter>
  <mergeCells count="1">
    <mergeCell ref="A1:O1"/>
  </mergeCells>
  <hyperlinks>
    <hyperlink ref="N18" r:id="rId2" display="https://www.xiaohongshu.com/user/profile/5cb427010000000017018af8?language=zh-CN"/>
    <hyperlink ref="N10" r:id="rId3" display="https://www.xiaohongshu.com/user/profile/5b001a854eacab46d3308d84?language=zh-CN"/>
    <hyperlink ref="N27" r:id="rId4" display="https://www.xiaohongshu.com/user/profile/5c886d4a000000001103062a?language=zh-CN" tooltip="https://www.xiaohongshu.com/user/profile/5c886d4a000000001103062a?language=zh-CN"/>
    <hyperlink ref="N22" r:id="rId5" display="https://www.xiaohongshu.com/user/profile/5fbf55ac00000000010054ec?language=zh-CN"/>
    <hyperlink ref="N20" r:id="rId6" display="https://www.xiaohongshu.com/user/profile/601d48c2000000000101e66a?language=zh-CN"/>
    <hyperlink ref="N46" r:id="rId7" display="https://www.xiaohongshu.com/user/profile/60c9d9cb0000000001009e2a?language=zh-CN"/>
    <hyperlink ref="N43" r:id="rId8" display="https://www.xiaohongshu.com/user/profile/5f508cb8000000000100baa4?language=zh-CN"/>
    <hyperlink ref="N30" r:id="rId9" display="https://www.xiaohongshu.com/user/profile/5f2e0669000000000101c68b?language=zh-CN"/>
    <hyperlink ref="N23" r:id="rId10" display="https://www.xiaohongshu.com/user/profile/5fa362a30000000001000747?language=zh-CN"/>
    <hyperlink ref="N44" r:id="rId11" display="https://www.xiaohongshu.com/user/profile/5ed4909b0000000001002d4f?language=zh-CN"/>
    <hyperlink ref="N52" r:id="rId12" display="https://www.xiaohongshu.com/user/profile/612f5616000000000201db0b?language=zh-CN"/>
    <hyperlink ref="N34" r:id="rId13" display="https://www.xiaohongshu.co&#10;m/user/profile/5b4f5fcb11&#10;be106513a09b1c" tooltip="https://www.xiaohongshu.com/user/profile/5b4f5fcb11be106513a09b1c"/>
    <hyperlink ref="N8" r:id="rId14" display="https://www.xiaohongshu.com/user/profile/61a60fe70000000010005673?xhsshare=CopyLink&amp;appuid=5abb1ddc4eacab7df3804e90&amp;apptime=1646106950"/>
    <hyperlink ref="N28" r:id="rId15" display="https://www.xiaohongshu.com/user/profile/5a9e4fd2e8ac2b28058cc6bc?xhsshare=CopyLink&amp;appuid=5bb0616f7d87110001b9d058&amp;apptime=1660629996"/>
    <hyperlink ref="N13" r:id="rId16" display="https://www.xiaohongshu.com/user/profile/5853e9eda9b2ed73234f183f?xhsshare=CopyLink&amp;appuid=5f6887c9000000000100b2fc&amp;apptime=1665557077"/>
    <hyperlink ref="N57" r:id="rId17" display="https://www.xiaohongshu.com/user/profile/60a3be24000000000100079b?xhsshare=CopyLink&amp;appuid=5f6887c9000000000100b2fc&amp;apptime=1665987318"/>
    <hyperlink ref="N47" r:id="rId18" display="https://www.xiaohongshu.com/user/profile/5db098350000000001007ed0?xhsshare=CopyLink&amp;appuid=5f6887c9000000000100b2fc&amp;apptime=1666677324"/>
    <hyperlink ref="N26" r:id="rId19" display="https://www.xiaohongshu.com/user/profile/5c6836cc0000000011031924?xhsshare=CopyLink&amp;appuid=5f6887c9000000000100b2fc&amp;apptime=1668403653"/>
    <hyperlink ref="N49" r:id="rId20" display="https://www.xiaohongshu.com/user/profile/63427e74000000001802fe3e?xhsshare=CopyLink&amp;appuid=5f6887c9000000000100b2fc&amp;apptime=1669968325"/>
    <hyperlink ref="N37" r:id="rId21" display="https://www.xiaohongshu.com/user/profile/5b88b4da0d26190001bfd0e8?xhsshare=CopyLink&amp;appuid=5f6887c9000000000100b2fc&amp;apptime=1676623879"/>
    <hyperlink ref="N53" r:id="rId22" display="https://www.xiaohongshu.com/user/profile/5b2de90311be1024e027ab8c?xhsshare=CopyLink&amp;appuid=5f6887c9000000000100b2fc&amp;apptime=1679989323"/>
    <hyperlink ref="N14" r:id="rId23" display="https://www.xiaohongshu.com/user/profile/5876137c82ec392876477d49?xhsshare=CopyLink&amp;appuid=5876137c82ec392876477d49&amp;apptime=1559476421"/>
    <hyperlink ref="N12" r:id="rId24" display="https://www.xiaohongshu.com/user/profile/591d50e582ec397ced16b902?xhsshare=CopyLink&amp;appuid=5f6887c9000000000100b2fc&amp;apptime=1682411995"/>
    <hyperlink ref="N42" r:id="rId25" display="https://www.xiaohongshu.com/user/profile/5ff947cb000000000101d8ac?xhsshare=CopyLink&amp;appuid=5f6887c9000000000100b2fc&amp;apptime=1684128014"/>
    <hyperlink ref="N17" r:id="rId26" display="https://www.xiaohongshu.com/user/profile/5fcf254b0000000001000dc1?xhsshare=CopyLink&amp;appuid=5f6887c9000000000100b2fc&amp;apptime=1685499908"/>
    <hyperlink ref="N50" r:id="rId27" display="https://www.xiaohongshu.com/user/profile/5f31dd7e00000000010001fa?xhsshare=CopyLink&amp;appuid=5f6887c9000000000100b2fc&amp;apptime=1688612831"/>
    <hyperlink ref="N45" r:id="rId28" display="https://www.xiaohongshu.com/user/profile/5c9187d70000000011009340?xhsshare=CopyLink&amp;appuid=5f6887c9000000000100b2fc&amp;apptime=1689591526"/>
    <hyperlink ref="N24" r:id="rId29" display="https://www.xiaohongshu.com/user/profile/60afd8b00000000001008d94?xhsshare=CopyLink&amp;appuid=5f6887c9000000000100b2fc&amp;apptime=1690434083"/>
    <hyperlink ref="N35" r:id="rId30" display="https://www.xiaohongshu.com/user/profile/5bb2ee2cbb1c740001fb8731?xhsshare=CopyLink&amp;appuid=5f6887c9000000000100b2fc&amp;apptime=1691569990"/>
    <hyperlink ref="N39" r:id="rId31" display="https://www.xiaohongshu.com/user/profile/5f4dde330000000001005ae2?xhsshare=CopyLink&amp;appuid=5f6887c9000000000100b2fc&amp;apptime=1692254448"/>
    <hyperlink ref="N40" r:id="rId32" display="https://www.xiaohongshu.com/user/profile/5fc9c5480000000001004b0e?xhsshare=CopyLink&amp;appuid=5f6887c9000000000100b2fc&amp;apptime=1692700093"/>
    <hyperlink ref="N60" r:id="rId33" display="https://www.xiaohongshu.com/user/profile/63246d3a00000000230275e1?xhsshare=CopyLink&amp;appuid=5f6887c9000000000100b2fc&amp;apptime=1697786233"/>
    <hyperlink ref="N29" r:id="rId34" display="https://www.xiaohongshu.com/user/profile/5ca7791c000000001703d920?xhsshare=CopyLink&amp;appuid=5f6887c9000000000100b2fc&amp;apptime=1698031379"/>
    <hyperlink ref="N41" r:id="rId35" display="https://www.xiaohongshu.com/user/profile/5f4e07d2000000000101d5eb?xhsshare=CopyLink&amp;appuid=5f6887c9000000000100b2fc&amp;apptime=1699496214"/>
    <hyperlink ref="N31" r:id="rId36" display="https://www.xiaohongshu.com/user/profile/59e7011c4eacab49101c70b9?xhsshare=CopyLink&amp;appuid=5f6887c9000000000100b2fc&amp;apptime=1701743935"/>
    <hyperlink ref="N59" r:id="rId37" display="https://www.xiaohongshu.com/user/profile/60ab06f4000000000101f416?xhsshare=CopyLink&amp;appuid=5f6887c9000000000100b2fc&amp;apptime=1704441598"/>
    <hyperlink ref="N11" r:id="rId38" display="https://www.xiaohongshu.com/user/profile/5a026bc94eacab345d40800b?xhsshare=CopyLink&amp;appuid=5f6887c9000000000100b2fc&amp;apptime=1706512965"/>
    <hyperlink ref="N33" r:id="rId39" display="https://www.xiaohongshu.com/user/profile/642f09e60000000029011b9e?xhsshare=CopyLink&amp;appuid=5f6887c9000000000100b2fc&amp;apptime=1713341457"/>
    <hyperlink ref="N58" r:id="rId40" display="https://www.xiaohongshu.com/user/profile/65850350000000001b032296?xhsshare=CopyLink&amp;appuid=5f6887c9000000000100b2fc&amp;apptime=1716184285"/>
    <hyperlink ref="N7" r:id="rId41" display="https://www.xiaohongshu.com/user/profile/5d9c4619000000000100b1c0?xhsshare=CopyLink&amp;appuid=5f6887c9000000000100b2fc&amp;apptime=1691991561"/>
    <hyperlink ref="N9" r:id="rId42" display="https://www.xiaohongshu.com/user/profile/5a813a144eacab5b9d72c400?xhsshare=CopyLink&amp;appuid=5f6887c9000000000100b2fc&amp;apptime=1723700841&amp;share_id=704b384e90fa4a349ec425d10d3c571b"/>
    <hyperlink ref="N36" r:id="rId43" display="https://www.xiaohongshu.com/user/profile/5fd1ec020000000001006b13?xhsshare=CopyLink&amp;appuid=5bb0616f7d87110001b9d058&amp;apptime=1660629721"/>
    <hyperlink ref="O40" r:id="rId44" display="https://pgy.xiaohongshu.com/solar/pre-trade/blogger-detail/5fc9c5480000000001004b0e?track_id=kolSearch_6ac73a13dbea4ce99c688d37b52ebfe9&amp;source=Advertiser_Kol" tooltip="https://pgy.xiaohongshu.com/solar/pre-trade/blogger-detail/5fc9c5480000000001004b0e?track_id=kolSearch_6ac73a13dbea4ce99c688d37b52ebfe9&amp;source=Advertiser_Kol"/>
    <hyperlink ref="O20" r:id="rId45" display="https://pgy.xiaohongshu.com/solar/pre-trade/blogger-detail/601d48c2000000000101e66a?track_id=kolSearch_daa082264a03422989c91a4da391e036&amp;source=Advertiser_Kol"/>
    <hyperlink ref="O22" r:id="rId46" display="https://pgy.xiaohongshu.com/solar/pre-trade/blogger-detail/5fbf55ac00000000010054ec?track_id=kolSearch_a8e059b9d6fc4b2ca7c93b6ec5369a22&amp;source=Advertiser_Kol"/>
    <hyperlink ref="O35" r:id="rId47" display="https://pgy.xiaohongshu.com/solar/pre-trade/blogger-detail/5bb2ee2cbb1c740001fb8731?track_id=kolSearch_645edcebb0e6403993bfd65c04c7f79f&amp;source=Advertiser_Kol"/>
    <hyperlink ref="O14" r:id="rId48" display="https://pgy.xiaohongshu.com/solar/pre-trade/blogger-detail/5876137c82ec392876477d49?track_id=kolSearch_69ed0984c006499aadca3a698fa54920&amp;source=Advertiser_Kol"/>
    <hyperlink ref="O8" r:id="rId49" display="https://pgy.xiaohongshu.com/solar/pre-trade/blogger-detail/61a60fe70000000010005673?track_id=kolSearch_4e0020d93e8f4404af08b7b167ef41dd&amp;source=Advertiser_Kol"/>
    <hyperlink ref="O7" r:id="rId50" display="https://pgy.xiaohongshu.com/solar/pre-trade/blogger-detail/5d9c4619000000000100b1c0?track_id=kolSearch_0c134ff113144bb3bd24c1c8e40c9910&amp;source=Advertiser_Kol"/>
    <hyperlink ref="O9" r:id="rId51" display="https://pgy.xiaohongshu.com/solar/pre-trade/blogger-detail/5a813a144eacab5b9d72c400?track_id=kolSearch_a6b116f5d0f1473faccb5233122861d9&amp;source=Advertiser_Kol"/>
    <hyperlink ref="O11" r:id="rId52" display="https://pgy.xiaohongshu.com/solar/pre-trade/blogger-detail/5a026bc94eacab345d40800b?track_id=kolSearch_621d32718c224318be729c41e4b3f0f2&amp;source=Advertiser_Kol"/>
    <hyperlink ref="O23" r:id="rId53" display="https://pgy.xiaohongshu.com/solar/pre-trade/blogger-detail/5fa362a30000000001000747?track_id=kolSearch_29ad4d6b12c840b4b88a7efc15e5f424&amp;source=Advertiser_Kol"/>
    <hyperlink ref="O13" r:id="rId54" display="https://pgy.xiaohongshu.com/solar/pre-trade/blogger-detail/5853e9eda9b2ed73234f183f?track_id=kolSearch_1d6bf66ef0354be9855e6f3d257388ac&amp;source=Advertiser_Kol"/>
    <hyperlink ref="O24" r:id="rId55" display="https://pgy.xiaohongshu.com/solar/pre-trade/blogger-detail/60afd8b00000000001008d94?track_id=kolSearch_bf55ff7945af48ff9d4168c02a229a35&amp;source=Advertiser_Kol"/>
    <hyperlink ref="O41" r:id="rId56" display="https://pgy.xiaohongshu.com/solar/pre-trade/blogger-detail/5f4e07d2000000000101d5eb?track_id=kolSearch_15a6e0fabc364f898086f65ebde63732&amp;source=Advertiser_Kol"/>
    <hyperlink ref="O42" r:id="rId57" display="https://pgy.xiaohongshu.com/solar/pre-trade/blogger-detail/5ff947cb000000000101d8ac?track_id=kolSearch_2e20515045d445fb82f92f1edf5d58eb&amp;source=Advertiser_Kol"/>
    <hyperlink ref="O39" r:id="rId58" display="https://pgy.xiaohongshu.com/solar/pre-trade/blogger-detail/5f4dde330000000001005ae2?track_id=kolSearch_899ac3c3487c49548f9d6b3634955aae&amp;source=Advertiser_Kol"/>
    <hyperlink ref="O43" r:id="rId59" display="https://pgy.xiaohongshu.com/solar/pre-trade/blogger-detail/5f508cb8000000000100baa4?track_id=kolSearch_61be879a4c4d4aa3b11788d1a18e6bff&amp;source=Advertiser_Kol"/>
    <hyperlink ref="O44" r:id="rId60" display="https://pgy.xiaohongshu.com/solar/pre-trade/blogger-detail/5ed4909b0000000001002d4f?track_id=kolSearch_34a6ace8a0a54d8bb1a4191e1c7b5e12&amp;source=Advertiser_Kol"/>
    <hyperlink ref="O10" r:id="rId61" display="https://pgy.xiaohongshu.com/solar/pre-trade/blogger-detail/5b001a854eacab46d3308d84?track_id=kolSearch_ab766fc69d734a6c911cb7086a3347fb&amp;source=Advertiser_Kol"/>
    <hyperlink ref="O47" r:id="rId62" display="https://pgy.xiaohongshu.com/solar/pre-trade/blogger-detail/5db098350000000001007ed0?track_id=kolSearch_93a5c5c9bc2b4cf7a5244a913b3a0681&amp;source=Advertiser_Kol"/>
    <hyperlink ref="O49" r:id="rId63" display="https://pgy.xiaohongshu.com/solar/pre-trade/blogger-detail/63427e74000000001802fe3e?track_id=kolSearch_cfb71f6ef9f944f48cdbf947084baea3&amp;source=Advertiser_Kol" tooltip="https://pgy.xiaohongshu.com/solar/pre-trade/blogger-detail/63427e74000000001802fe3e?track_id=kolSearch_cfb71f6ef9f944f48cdbf947084baea3&amp;source=Advertiser_Kol"/>
    <hyperlink ref="O45" r:id="rId64" display="https://pgy.xiaohongshu.com/solar/pre-trade/blogger-detail/5c9187d70000000011009340?track_id=kolSearch_3c260d82929647958415a94a180bb98d&amp;source=Advertiser_Kol"/>
    <hyperlink ref="O46" r:id="rId65" display="https://pgy.xiaohongshu.com/solar/pre-trade/blogger-detail/60c9d9cb0000000001009e2a?track_id=kolSearch_80e82a9105a04fa381f4159f3b27538e&amp;source=Advertiser_Kol"/>
    <hyperlink ref="O28" r:id="rId66" display="https://pgy.xiaohongshu.com/solar/pre-trade/blogger-detail/5a9e4fd2e8ac2b28058cc6bc?track_id=kolSearch_3eea07c3e7a24c3f8cc3373d9bf49ae2&amp;source=Advertiser_Kol"/>
    <hyperlink ref="O27" r:id="rId67" display="https://pgy.xiaohongshu.com/solar/pre-trade/blogger-detail/5c886d4a000000001103062a?track_id=kolSearch_aec86d67bd964e3995787b9924f8d884&amp;source=Advertiser_Kol"/>
    <hyperlink ref="O29" r:id="rId68" display="https://pgy.xiaohongshu.com/solar/pre-trade/blogger-detail/5ca7791c000000001703d920?track_id=kolSearch_d3fcc24a5ddf477d979bf14e3fe5ffed&amp;source=Advertiser_Kol"/>
    <hyperlink ref="O30" r:id="rId69" display="https://pgy.xiaohongshu.com/solar/pre-trade/blogger-detail/5f2e0669000000000101c68b?track_id=kolSearch_366a708dbb8a4624baf7c246bbe47c2b&amp;source=Advertiser_Kol"/>
    <hyperlink ref="O31" r:id="rId70" display="https://pgy.xiaohongshu.com/solar/pre-trade/blogger-detail/59e7011c4eacab49101c70b9?track_id=kolSearch_da08d08309704e2ca5e28ef98cf5c770&amp;source=Advertiser_Kol"/>
    <hyperlink ref="O52" r:id="rId71" display="https://pgy.xiaohongshu.com/solar/pre-trade/blogger-detail/612f5616000000000201db0b?track_id=kolSearch_9e73eb1875e74f989bceae0bb29f7fd6&amp;source=Advertiser_Kol"/>
    <hyperlink ref="O17" r:id="rId72" display="https://pgy.xiaohongshu.com/solar/pre-trade/blogger-detail/5fcf254b0000000001000dc1?track_id=kolSearch_6b9d38da35fa40eba6b620d4a633d09f&amp;source=Advertiser_Kol"/>
    <hyperlink ref="O34" r:id="rId73" display="https://pgy.xiaohongshu.com/solar/pre-trade/blogger-detail/5b4f5fcb11be106513a09b1c?track_id=kolSearch_5898afae8ddc45e5b64749b791f59335&amp;source=Advertiser_Kol"/>
    <hyperlink ref="O12" r:id="rId74" display="https://pgy.xiaohongshu.com/solar/pre-trade/blogger-detail/591d50e582ec397ced16b902?track_id=kolSearch_f2607d75dc404d26836275650a90d789&amp;source=Advertiser_Kol"/>
    <hyperlink ref="O33" r:id="rId75" display="https://pgy.xiaohongshu.com/solar/pre-trade/blogger-detail/642f09e60000000029011b9e?track_id=kolSearch_9f32b438ea584760ba43c1cf96f2fb9b&amp;source=Advertiser_Kol"/>
    <hyperlink ref="O50" r:id="rId76" display="https://pgy.xiaohongshu.com/solar/pre-trade/blogger-detail/5f31dd7e00000000010001fa?track_id=kolSearch_a1b332f63bf14fc8b280e0cb0a076565&amp;source=Advertiser_Kol"/>
    <hyperlink ref="O58" r:id="rId77" display="https://pgy.xiaohongshu.com/solar/pre-trade/blogger-detail/65850350000000001b032296?track_id=kolSearch_e5fdf4f94e694e1a9bde6a2478d7f6fc&amp;source=Advertiser_Kol"/>
    <hyperlink ref="O57" r:id="rId78" display="https://pgy.xiaohongshu.com/solar/pre-trade/blogger-detail/60a3be24000000000100079b?track_id=kolSearch_14ecd4a02923469d883f17d502f44cf7&amp;source=Advertiser_Kol"/>
    <hyperlink ref="O53" r:id="rId79" display="https://pgy.xiaohongshu.com/solar/pre-trade/blogger-detail/5b2de90311be1024e027ab8c?track_id=kolSearch_3158e6a1bc47489795180c8dfe191109&amp;source=Advertiser_Kol"/>
    <hyperlink ref="O26" r:id="rId80" display="https://pgy.xiaohongshu.com/solar/pre-trade/blogger-detail/5c6836cc0000000011031924?track_id=kolSearch_f4e808acff004094b33d62e33fdcf8c6&amp;source=Advertiser_Kol" tooltip="https://pgy.xiaohongshu.com/solar/pre-trade/blogger-detail/5c6836cc0000000011031924?track_id=kolSearch_f4e808acff004094b33d62e33fdcf8c6&amp;source=Advertiser_Kol"/>
    <hyperlink ref="O37" r:id="rId81" display="https://pgy.xiaohongshu.com/solar/pre-trade/blogger-detail/5b88b4da0d26190001bfd0e8?track_id=kolSearch_bce217027a71405d9fc4804dadb17e0c&amp;source=Advertiser_Kol"/>
    <hyperlink ref="O59" r:id="rId82" display="https://pgy.xiaohongshu.com/solar/pre-trade/blogger-detail/60ab06f4000000000101f416?track_id=kolSearch_ca875e20646f47188b653093cc06d6ec&amp;source=Advertiser_Kol"/>
    <hyperlink ref="O60" r:id="rId83" display="https://pgy.xiaohongshu.com/solar/pre-trade/blogger-detail/63246d3a00000000230275e1?track_id=kolSearch_db75c6afaca64d6c96f30897f7874ac9&amp;source=Advertiser_Kol"/>
    <hyperlink ref="O36" r:id="rId84" display="https://pgy.xiaohongshu.com/solar/pre-trade/blogger-detail/5fd1ec020000000001006b13?track_id=kolSearch_7e9d11a4e305418d8c5f4c52fd234ca4&amp;source=Advertiser_Kol"/>
    <hyperlink ref="O18" r:id="rId85" display="https://pgy.xiaohongshu.com/solar/pre-trade/blogger-detail/5cb427010000000017018af8?track_id=kolSearch_ab957022be6744d494f8577207c844f9&amp;source=Advertiser_Kol"/>
    <hyperlink ref="N54" r:id="rId86" display="https://www.xiaohongshu.com/user/profile/58ca16696a6a69748a40c696"/>
    <hyperlink ref="N56" r:id="rId87" display="https://www.xiaohongshu.com/user/profile/61e6675f0000000010009eae?xsec_token=YB2s8l_V2djyIJyBQa5RhPCuoJYQ7-LXmiZab8AlHuakw=&amp;xsec_source=app_share&amp;xhsshare=CopyLink&amp;appuid=5f6887c9000000000100b2fc&amp;apptime=1739338351&amp;share_id=53ed135c0c7b4467ae6c6c23e888e222" tooltip="https://www.xiaohongshu.com/user/profile/61e6675f0000000010009eae?xsec_token=YB2s8l_V2djyIJyBQa5RhPCuoJYQ7-LXmiZab8AlHuakw=&amp;xsec_source=app_share&amp;xhsshare=CopyLink&amp;appuid=5f6887c9000000000100b2fc&amp;apptime=1739338351&amp;share_id=53ed135c0c7b4467ae6c6c23e888e22"/>
    <hyperlink ref="O54" r:id="rId88" display="https://pgy.xiaohongshu.com/solar/pre-trade/blogger-detail/58ca16696a6a69748a40c696?track_id=kolSearch_1689b999699e4ce5a4f961b85cdcb912&amp;source=Advertiser_Kol"/>
    <hyperlink ref="O56" r:id="rId89" display="https://pgy.xiaohongshu.com/solar/pre-trade/blogger-detail/61e6675f0000000010009eae?track_id="/>
    <hyperlink ref="O16" r:id="rId90" display="https://pgy.xiaohongshu.com/solar/pre-trade/blogger-detail/5bb1fa139cb8ac00010e9eb6?track_id="/>
    <hyperlink ref="N16" r:id="rId91" display="https://www.xiaohongshu.com/user/profile/5bb1fa139cb8ac00010e9eb6?xsec_token=YBDUZ4c5dcRd_UcofHvuhGrjkoio2q83NCeGSNsncG5E0=&amp;xsec_source=app_share&amp;xhsshare=CopyLink&amp;appuid=5f6887c9000000000100b2fc&amp;apptime=1741680725&amp;share_id=46d09b047e754326a2f7c6016fc59d94"/>
    <hyperlink ref="N21" r:id="rId92" display="https://www.xiaohongshu.com/user/profile/5e5b7cfc0000000001008cc9?xsec_token=YBbKKN6nVkufj08exnHTM2ZjSXanzjAeJv16sdRtVOIHQ=&amp;xsec_source=app_share&amp;xhsshare=CopyLink&amp;appuid=5f6887c9000000000100b2fc&amp;apptime=1742541405&amp;share_id=d7bb17681d794c69b09453de08d40d1e"/>
    <hyperlink ref="O21" r:id="rId93" display="https://pgy.xiaohongshu.com/solar/pre-trade/blogger-detail/5e5b7cfc0000000001008cc9?track_id=kolSearch_6b5730c78d854c8f8faea2ad6e85c415&amp;source=Advertiser_Kol"/>
    <hyperlink ref="O19" r:id="rId94" display="https://pgy.xiaohongshu.com/solar/pre-trade/blogger-detail/62efa5f7000000001f005b9a?track_id=kolSearch_62241b1dd4594800a7785e1e3f10022c&amp;source=Advertiser_Kol"/>
    <hyperlink ref="N19" r:id="rId95" display="https://www.xiaohongshu.com/user/profile/62efa5f7000000001f005b9a?xsec_token=YBd-vS5sMOuCxh9m-6YHFO4uiMN2r-upH5aaCEF_Q33Ms=&amp;xsec_source=app_share&amp;xhsshare=CopyLink&amp;appuid=5f6887c9000000000100b2fc&amp;apptime=1749543031&amp;share_id=ed0cb645c4b24686ba1737e9868cbca2"/>
    <hyperlink ref="N25" r:id="rId96" display="https://www.xiaohongshu.com/user/profile/5c45ebaa000000001200329e?xsec_token=YBsiOG2ebavLhZJW98-L4nmYd90amYoH0Q5uj6ZIlEbrc=&amp;xsec_source=app_share&amp;xhsshare=CopyLink&amp;appuid=5f6887c9000000000100b2fc&amp;apptime=1750659247&amp;share_id=b27eb940d3854fa088e551b6f711bc1e"/>
    <hyperlink ref="O25" r:id="rId97" display="https://pgy.xiaohongshu.com/solar/pre-trade/blogger-detail/5c45ebaa000000001200329e?track_id=kolSearch_9d9ee6e9b8ba4d7388a1ed4c03d910d5&amp;source=Advertiser_Kol"/>
    <hyperlink ref="N32" r:id="rId98" display="https://www.xiaohongshu.com/user/profile/5b5d36c7e8ac2b35b1e6213d?xsec_token=YBEepMIBK0zQl-4EoDBDhFSBp6V1pAbYYDR-B5Msn_vVA=&amp;xsec_source=app_share&amp;xhsshare=CopyLink&amp;appuid=5f6887c9000000000100b2fc&amp;apptime=1752820243&amp;share_id=cdd7a7183a7d41f289decdc3a8373b29"/>
    <hyperlink ref="O32" r:id="rId99" display="https://pgy.xiaohongshu.com/solar/pre-trade/blogger-detail/5b5d36c7e8ac2b35b1e6213d?track_id="/>
    <hyperlink ref="N4" r:id="rId100" display="https://www.xiaohongshu.com/user/profile/6178e364000000001f0386d1?xsec_token=YBQJZAZCsBmKOQNdleZn1Y1FWNdUlZCwV0QNxLjb-Lf_U=&amp;xsec_source=app_share&amp;xhsshare=CopyLink&amp;appuid=5f6887c9000000000100b2fc&amp;apptime=1753955757&amp;share_id=b46535965ac34929a7087838894f56ba"/>
    <hyperlink ref="N55" r:id="rId101" display="https://www.xiaohongshu.com/user/profile/63a6fc520000000027029c8d?xsec_token=YBMKUE5zHWtuVK9CJ4WxAUL4awILuSztcKGMn6ESd9LG0=&amp;xsec_source=app_share&amp;xhsshare=CopyLink&amp;appuid=5f6887c9000000000100b2fc&amp;apptime=1754877284&amp;share_id=af149f03946845b1b5f6d29b9273ef69"/>
    <hyperlink ref="O55" r:id="rId102" display="https://pgy.xiaohongshu.com/solar/pre-trade/blogger-detail/63a6fc520000000027029c8d?track_id="/>
    <hyperlink ref="N5" r:id="rId103" display="https://xhslink.com/m/5UgcvtObNbD"/>
    <hyperlink ref="O5" r:id="rId104" display="https://pgy.xiaohongshu.com/solar/pre-trade/blogger-detail/63135ed0000000001200e086?track_id="/>
  </hyperlink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6"/>
  </sheetPr>
  <dimension ref="A1:H8"/>
  <sheetViews>
    <sheetView workbookViewId="0">
      <pane ySplit="2" topLeftCell="A3" activePane="bottomLeft" state="frozen"/>
      <selection/>
      <selection pane="bottomLeft" activeCell="D60" sqref="D60"/>
    </sheetView>
  </sheetViews>
  <sheetFormatPr defaultColWidth="9.81666666666667" defaultRowHeight="13.5" outlineLevelRow="7" outlineLevelCol="7"/>
  <cols>
    <col min="1" max="1" width="9" style="28"/>
    <col min="2" max="3" width="7.625" style="28" customWidth="1"/>
    <col min="4" max="4" width="33.2666666666667" style="28" customWidth="1"/>
    <col min="5" max="5" width="15.1416666666667" style="52" customWidth="1"/>
    <col min="6" max="6" width="15.1416666666667" style="28" customWidth="1"/>
    <col min="7" max="7" width="15.5" style="72" customWidth="1"/>
    <col min="8" max="8" width="29.875" style="28" customWidth="1"/>
    <col min="9" max="16377" width="9" style="28"/>
    <col min="16378" max="16383" width="9.64166666666667" style="28"/>
    <col min="16384" max="16384" width="9.81666666666667" style="28"/>
  </cols>
  <sheetData>
    <row r="1" s="28" customFormat="1" ht="70" customHeight="1" spans="1:8">
      <c r="A1" s="7" t="s">
        <v>1513</v>
      </c>
      <c r="B1" s="7"/>
      <c r="C1" s="7"/>
      <c r="D1" s="7"/>
      <c r="E1" s="7"/>
      <c r="F1" s="7"/>
      <c r="G1" s="7"/>
      <c r="H1" s="7"/>
    </row>
    <row r="2" s="1" customFormat="1" ht="30" customHeight="1" spans="1:8">
      <c r="A2" s="87" t="s">
        <v>1514</v>
      </c>
      <c r="B2" s="87" t="s">
        <v>7</v>
      </c>
      <c r="C2" s="87" t="s">
        <v>9</v>
      </c>
      <c r="D2" s="87" t="s">
        <v>1515</v>
      </c>
      <c r="E2" s="87" t="s">
        <v>1516</v>
      </c>
      <c r="F2" s="87" t="s">
        <v>1517</v>
      </c>
      <c r="G2" s="87" t="s">
        <v>1518</v>
      </c>
      <c r="H2" s="87" t="s">
        <v>1519</v>
      </c>
    </row>
    <row r="3" s="1" customFormat="1" ht="40" customHeight="1" spans="1:8">
      <c r="A3" s="88" t="s">
        <v>284</v>
      </c>
      <c r="B3" s="79">
        <v>1</v>
      </c>
      <c r="C3" s="89" t="str">
        <f>_xlfn.DISPIMG("ID_B80174DB818F42F89E0B16F62B09933C",1)</f>
        <v>=DISPIMG("ID_B80174DB818F42F89E0B16F62B09933C",1)</v>
      </c>
      <c r="D3" s="32" t="s">
        <v>1520</v>
      </c>
      <c r="E3" s="57">
        <v>1033</v>
      </c>
      <c r="F3" s="81">
        <v>80000</v>
      </c>
      <c r="G3" s="81">
        <v>8000</v>
      </c>
      <c r="H3" s="90" t="s">
        <v>1521</v>
      </c>
    </row>
    <row r="4" s="1" customFormat="1" ht="40" customHeight="1" spans="1:8">
      <c r="A4" s="91" t="s">
        <v>813</v>
      </c>
      <c r="B4" s="76">
        <v>2</v>
      </c>
      <c r="C4" s="92" t="str">
        <f>_xlfn.DISPIMG("ID_99668B7599544B11ACEEA3FF1EB72326",1)</f>
        <v>=DISPIMG("ID_99668B7599544B11ACEEA3FF1EB72326",1)</v>
      </c>
      <c r="D4" s="37" t="s">
        <v>833</v>
      </c>
      <c r="E4" s="59">
        <v>328</v>
      </c>
      <c r="F4" s="69">
        <v>50000</v>
      </c>
      <c r="G4" s="69">
        <v>5000</v>
      </c>
      <c r="H4" s="93" t="s">
        <v>1522</v>
      </c>
    </row>
    <row r="5" s="1" customFormat="1" ht="40" customHeight="1" spans="1:8">
      <c r="A5" s="88" t="s">
        <v>284</v>
      </c>
      <c r="B5" s="79">
        <v>3</v>
      </c>
      <c r="C5" s="89" t="str">
        <f>_xlfn.DISPIMG("ID_66734896A6CE47A2BD8361F520FC4D67",1)</f>
        <v>=DISPIMG("ID_66734896A6CE47A2BD8361F520FC4D67",1)</v>
      </c>
      <c r="D5" s="32" t="s">
        <v>229</v>
      </c>
      <c r="E5" s="57">
        <v>128</v>
      </c>
      <c r="F5" s="81">
        <v>50000</v>
      </c>
      <c r="G5" s="81">
        <v>8000</v>
      </c>
      <c r="H5" s="90" t="s">
        <v>1523</v>
      </c>
    </row>
    <row r="6" s="1" customFormat="1" ht="40" customHeight="1" spans="1:8">
      <c r="A6" s="91" t="s">
        <v>813</v>
      </c>
      <c r="B6" s="76">
        <v>4</v>
      </c>
      <c r="C6" s="92" t="str">
        <f>_xlfn.DISPIMG("ID_AAD39A6E8CE0488386F06F9435D649BA",1)</f>
        <v>=DISPIMG("ID_AAD39A6E8CE0488386F06F9435D649BA",1)</v>
      </c>
      <c r="D6" s="77" t="s">
        <v>1524</v>
      </c>
      <c r="E6" s="59">
        <v>422</v>
      </c>
      <c r="F6" s="69">
        <v>80000</v>
      </c>
      <c r="G6" s="69">
        <v>10000</v>
      </c>
      <c r="H6" s="93" t="s">
        <v>1525</v>
      </c>
    </row>
    <row r="7" s="1" customFormat="1" ht="40" customHeight="1" spans="1:8">
      <c r="A7" s="88" t="s">
        <v>284</v>
      </c>
      <c r="B7" s="79">
        <v>5</v>
      </c>
      <c r="C7" s="89" t="str">
        <f>_xlfn.DISPIMG("ID_FA9FF34377084D008B1E566C0AFB056C",1)</f>
        <v>=DISPIMG("ID_FA9FF34377084D008B1E566C0AFB056C",1)</v>
      </c>
      <c r="D7" s="80" t="s">
        <v>1526</v>
      </c>
      <c r="E7" s="57">
        <v>173</v>
      </c>
      <c r="F7" s="81">
        <v>15000</v>
      </c>
      <c r="G7" s="81">
        <v>1000</v>
      </c>
      <c r="H7" s="90" t="s">
        <v>1527</v>
      </c>
    </row>
    <row r="8" s="1" customFormat="1" ht="40" customHeight="1" spans="1:8">
      <c r="A8" s="94" t="s">
        <v>284</v>
      </c>
      <c r="B8" s="95">
        <v>6</v>
      </c>
      <c r="C8" s="96" t="str">
        <f>_xlfn.DISPIMG("ID_E93E6167F61E4599964B5E79CD7734C2",1)</f>
        <v>=DISPIMG("ID_E93E6167F61E4599964B5E79CD7734C2",1)</v>
      </c>
      <c r="D8" s="97" t="s">
        <v>239</v>
      </c>
      <c r="E8" s="63">
        <v>0.5</v>
      </c>
      <c r="F8" s="98">
        <v>5000</v>
      </c>
      <c r="G8" s="98">
        <v>500</v>
      </c>
      <c r="H8" s="99" t="s">
        <v>1528</v>
      </c>
    </row>
  </sheetData>
  <autoFilter xmlns:etc="http://www.wps.cn/officeDocument/2017/etCustomData" ref="A2:H8" etc:filterBottomFollowUsedRange="0">
    <extLst/>
  </autoFilter>
  <mergeCells count="1">
    <mergeCell ref="A1:H1"/>
  </mergeCells>
  <hyperlinks>
    <hyperlink ref="H4" r:id="rId2" display="https://is.snssdk.com/motor/ugc/profile.html?link_source=share&amp;the_user_id=997974094390888"/>
    <hyperlink ref="H6" r:id="rId3" display="https://is.snssdk.com/motor/ugc/profile.html?link_source=share&amp;the_user_id=3413348012532631"/>
    <hyperlink ref="H5" r:id="rId4" display="https://is.snssdk.com/motor/ugc/profile.html?link_source=share&amp;the_user_id=104402962924"/>
    <hyperlink ref="H8" r:id="rId5" display="https://is.snssdk.com/motor/ugc/profile.html?link_source=share&amp;the_user_id=7258424528"/>
    <hyperlink ref="H3" r:id="rId6" display="https://is.snssdk.com/motor/ugc/profile.html?link_source=share&amp;the_user_id=73208712518"/>
    <hyperlink ref="H7" r:id="rId7" display="https://is.snssdk.com/motor/ugc/profile.html?link_source=share&amp;the_user_id=997944708048468"/>
  </hyperlink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6"/>
  </sheetPr>
  <dimension ref="A1:I28"/>
  <sheetViews>
    <sheetView workbookViewId="0">
      <pane ySplit="2" topLeftCell="A3" activePane="bottomLeft" state="frozen"/>
      <selection/>
      <selection pane="bottomLeft" activeCell="N6" sqref="N6"/>
    </sheetView>
  </sheetViews>
  <sheetFormatPr defaultColWidth="9.81666666666667" defaultRowHeight="13.5"/>
  <cols>
    <col min="1" max="1" width="9" style="28"/>
    <col min="2" max="3" width="7.625" style="28" customWidth="1"/>
    <col min="4" max="4" width="33.2666666666667" style="28" customWidth="1"/>
    <col min="5" max="5" width="16.2583333333333" style="28" customWidth="1"/>
    <col min="6" max="7" width="15.1416666666667" style="28" customWidth="1"/>
    <col min="8" max="8" width="20" style="72" customWidth="1"/>
    <col min="9" max="9" width="11.3833333333333" style="28" customWidth="1"/>
    <col min="10" max="16374" width="9" style="28"/>
    <col min="16375" max="16379" width="9.64166666666667" style="28"/>
    <col min="16380" max="16384" width="9.81666666666667" style="28"/>
  </cols>
  <sheetData>
    <row r="1" s="28" customFormat="1" ht="70" customHeight="1" spans="1:9">
      <c r="A1" s="7" t="s">
        <v>1529</v>
      </c>
      <c r="B1" s="7"/>
      <c r="C1" s="7"/>
      <c r="D1" s="7"/>
      <c r="E1" s="7"/>
      <c r="F1" s="7"/>
      <c r="G1" s="7"/>
      <c r="H1" s="7"/>
      <c r="I1" s="7"/>
    </row>
    <row r="2" s="1" customFormat="1" ht="30" customHeight="1" spans="1:9">
      <c r="A2" s="73" t="s">
        <v>1514</v>
      </c>
      <c r="B2" s="73" t="s">
        <v>7</v>
      </c>
      <c r="C2" s="73" t="s">
        <v>9</v>
      </c>
      <c r="D2" s="73" t="s">
        <v>1530</v>
      </c>
      <c r="E2" s="73" t="s">
        <v>1531</v>
      </c>
      <c r="F2" s="74" t="s">
        <v>1516</v>
      </c>
      <c r="G2" s="73" t="s">
        <v>1532</v>
      </c>
      <c r="H2" s="73" t="s">
        <v>1518</v>
      </c>
      <c r="I2" s="73" t="s">
        <v>1533</v>
      </c>
    </row>
    <row r="3" s="1" customFormat="1" ht="40" customHeight="1" spans="1:9">
      <c r="A3" s="75" t="s">
        <v>1180</v>
      </c>
      <c r="B3" s="76">
        <v>1</v>
      </c>
      <c r="C3" s="76" t="str">
        <f>_xlfn.DISPIMG("ID_22FABF50CE8D4FE4A2A41D38745F4816",1)</f>
        <v>=DISPIMG("ID_22FABF50CE8D4FE4A2A41D38745F4816",1)</v>
      </c>
      <c r="D3" s="37" t="s">
        <v>68</v>
      </c>
      <c r="E3" s="77" t="s">
        <v>1534</v>
      </c>
      <c r="F3" s="60">
        <v>1941431</v>
      </c>
      <c r="G3" s="69">
        <v>1800000</v>
      </c>
      <c r="H3" s="69">
        <v>400000</v>
      </c>
      <c r="I3" s="76" t="s">
        <v>1535</v>
      </c>
    </row>
    <row r="4" s="1" customFormat="1" ht="40" customHeight="1" spans="1:9">
      <c r="A4" s="78" t="s">
        <v>1536</v>
      </c>
      <c r="B4" s="79">
        <v>2</v>
      </c>
      <c r="C4" s="79" t="str">
        <f>_xlfn.DISPIMG("ID_0526E155DF574DB6A9004725CE255338",1)</f>
        <v>=DISPIMG("ID_0526E155DF574DB6A9004725CE255338",1)</v>
      </c>
      <c r="D4" s="80" t="s">
        <v>1537</v>
      </c>
      <c r="E4" s="80" t="s">
        <v>1538</v>
      </c>
      <c r="F4" s="58">
        <v>225626</v>
      </c>
      <c r="G4" s="81">
        <v>30000</v>
      </c>
      <c r="H4" s="81">
        <v>5000</v>
      </c>
      <c r="I4" s="79" t="s">
        <v>1535</v>
      </c>
    </row>
    <row r="5" s="1" customFormat="1" ht="40" customHeight="1" spans="1:9">
      <c r="A5" s="75" t="s">
        <v>1000</v>
      </c>
      <c r="B5" s="76">
        <v>3</v>
      </c>
      <c r="C5" s="76" t="str">
        <f>_xlfn.DISPIMG("ID_AAAD5394AEDE4534B3B6770F136166B8",1)</f>
        <v>=DISPIMG("ID_AAAD5394AEDE4534B3B6770F136166B8",1)</v>
      </c>
      <c r="D5" s="37" t="s">
        <v>1539</v>
      </c>
      <c r="E5" s="77" t="s">
        <v>1540</v>
      </c>
      <c r="F5" s="60">
        <v>431204</v>
      </c>
      <c r="G5" s="69">
        <v>3000</v>
      </c>
      <c r="H5" s="69">
        <v>2000</v>
      </c>
      <c r="I5" s="76" t="s">
        <v>1535</v>
      </c>
    </row>
    <row r="6" s="1" customFormat="1" ht="40" customHeight="1" spans="1:9">
      <c r="A6" s="78" t="s">
        <v>813</v>
      </c>
      <c r="B6" s="79">
        <v>4</v>
      </c>
      <c r="C6" s="79" t="str">
        <f>_xlfn.DISPIMG("ID_DE7F0F130B1240EDB27E385A5E6BF622",1)</f>
        <v>=DISPIMG("ID_DE7F0F130B1240EDB27E385A5E6BF622",1)</v>
      </c>
      <c r="D6" s="80" t="s">
        <v>854</v>
      </c>
      <c r="E6" s="80" t="s">
        <v>1541</v>
      </c>
      <c r="F6" s="58">
        <v>388482</v>
      </c>
      <c r="G6" s="81">
        <v>70000</v>
      </c>
      <c r="H6" s="81">
        <v>20000</v>
      </c>
      <c r="I6" s="79" t="s">
        <v>1542</v>
      </c>
    </row>
    <row r="7" s="1" customFormat="1" ht="40" customHeight="1" spans="1:9">
      <c r="A7" s="75" t="s">
        <v>813</v>
      </c>
      <c r="B7" s="76">
        <v>5</v>
      </c>
      <c r="C7" s="76" t="str">
        <f>_xlfn.DISPIMG("ID_E5744359F8904C5A8E437F348DF11B4C",1)</f>
        <v>=DISPIMG("ID_E5744359F8904C5A8E437F348DF11B4C",1)</v>
      </c>
      <c r="D7" s="37" t="s">
        <v>1543</v>
      </c>
      <c r="E7" s="77" t="s">
        <v>1544</v>
      </c>
      <c r="F7" s="60">
        <v>46956</v>
      </c>
      <c r="G7" s="69">
        <v>25000</v>
      </c>
      <c r="H7" s="69" t="s">
        <v>39</v>
      </c>
      <c r="I7" s="76" t="s">
        <v>1542</v>
      </c>
    </row>
    <row r="8" s="1" customFormat="1" ht="40" customHeight="1" spans="1:9">
      <c r="A8" s="78" t="s">
        <v>813</v>
      </c>
      <c r="B8" s="79">
        <v>6</v>
      </c>
      <c r="C8" t="str">
        <f>_xlfn.DISPIMG("ID_13B7E4DB04D24FA7B0DCF78C29F469A4",1)</f>
        <v>=DISPIMG("ID_13B7E4DB04D24FA7B0DCF78C29F469A4",1)</v>
      </c>
      <c r="D8" s="80" t="s">
        <v>1545</v>
      </c>
      <c r="E8" s="80" t="s">
        <v>1546</v>
      </c>
      <c r="F8" s="58">
        <v>44775</v>
      </c>
      <c r="G8" s="81">
        <v>48000</v>
      </c>
      <c r="H8" s="81" t="s">
        <v>39</v>
      </c>
      <c r="I8" s="79" t="s">
        <v>1535</v>
      </c>
    </row>
    <row r="9" s="1" customFormat="1" ht="40" customHeight="1" spans="1:9">
      <c r="A9" s="75" t="s">
        <v>1547</v>
      </c>
      <c r="B9" s="76">
        <v>7</v>
      </c>
      <c r="C9" s="76" t="str">
        <f>_xlfn.DISPIMG("ID_A934BBBA568A4A7AAC0C7DC4E37B6F9F",1)</f>
        <v>=DISPIMG("ID_A934BBBA568A4A7AAC0C7DC4E37B6F9F",1)</v>
      </c>
      <c r="D9" s="37" t="s">
        <v>180</v>
      </c>
      <c r="E9" s="77" t="s">
        <v>1548</v>
      </c>
      <c r="F9" s="60">
        <v>18143</v>
      </c>
      <c r="G9" s="69">
        <v>2000</v>
      </c>
      <c r="H9" s="69">
        <v>1000</v>
      </c>
      <c r="I9" s="76" t="s">
        <v>1535</v>
      </c>
    </row>
    <row r="10" s="1" customFormat="1" ht="40" customHeight="1" spans="1:9">
      <c r="A10" s="78" t="s">
        <v>1086</v>
      </c>
      <c r="B10" s="79">
        <v>8</v>
      </c>
      <c r="C10" s="79" t="str">
        <f>_xlfn.DISPIMG("ID_A962B447B9374ACDB54DA6072F69A698",1)</f>
        <v>=DISPIMG("ID_A962B447B9374ACDB54DA6072F69A698",1)</v>
      </c>
      <c r="D10" s="80" t="s">
        <v>81</v>
      </c>
      <c r="E10" s="80" t="s">
        <v>1549</v>
      </c>
      <c r="F10" s="58">
        <v>843954</v>
      </c>
      <c r="G10" s="81">
        <v>150000</v>
      </c>
      <c r="H10" s="81">
        <v>15000</v>
      </c>
      <c r="I10" s="79" t="s">
        <v>1535</v>
      </c>
    </row>
    <row r="11" s="1" customFormat="1" ht="40" customHeight="1" spans="1:9">
      <c r="A11" s="75" t="s">
        <v>1086</v>
      </c>
      <c r="B11" s="76">
        <v>9</v>
      </c>
      <c r="C11" s="76" t="str">
        <f>_xlfn.DISPIMG("ID_3F01711F02924B928AF22A3322088269",1)</f>
        <v>=DISPIMG("ID_3F01711F02924B928AF22A3322088269",1)</v>
      </c>
      <c r="D11" s="37" t="s">
        <v>93</v>
      </c>
      <c r="E11" s="37" t="s">
        <v>1550</v>
      </c>
      <c r="F11" s="60">
        <v>353204</v>
      </c>
      <c r="G11" s="69">
        <v>200000</v>
      </c>
      <c r="H11" s="69">
        <v>25000</v>
      </c>
      <c r="I11" s="76" t="s">
        <v>1535</v>
      </c>
    </row>
    <row r="12" s="1" customFormat="1" ht="40" customHeight="1" spans="1:9">
      <c r="A12" s="78" t="s">
        <v>1086</v>
      </c>
      <c r="B12" s="79">
        <v>10</v>
      </c>
      <c r="C12" s="79" t="str">
        <f>_xlfn.DISPIMG("ID_96C9A41FE3F94ADC8CC27D709951F53C",1)</f>
        <v>=DISPIMG("ID_96C9A41FE3F94ADC8CC27D709951F53C",1)</v>
      </c>
      <c r="D12" s="80" t="s">
        <v>1551</v>
      </c>
      <c r="E12" s="80" t="s">
        <v>1552</v>
      </c>
      <c r="F12" s="58">
        <v>138677</v>
      </c>
      <c r="G12" s="81">
        <v>60000</v>
      </c>
      <c r="H12" s="81">
        <v>10000</v>
      </c>
      <c r="I12" s="79" t="s">
        <v>1535</v>
      </c>
    </row>
    <row r="13" s="1" customFormat="1" ht="40" customHeight="1" spans="1:9">
      <c r="A13" s="75" t="s">
        <v>1086</v>
      </c>
      <c r="B13" s="76">
        <v>11</v>
      </c>
      <c r="C13" s="76" t="str">
        <f>_xlfn.DISPIMG("ID_51D64287C69C4E72B4DC568CA5C0A8DB",1)</f>
        <v>=DISPIMG("ID_51D64287C69C4E72B4DC568CA5C0A8DB",1)</v>
      </c>
      <c r="D13" s="77" t="s">
        <v>1553</v>
      </c>
      <c r="E13" s="77" t="s">
        <v>1554</v>
      </c>
      <c r="F13" s="60">
        <v>171229</v>
      </c>
      <c r="G13" s="69">
        <v>98000</v>
      </c>
      <c r="H13" s="69">
        <v>15000</v>
      </c>
      <c r="I13" s="76" t="s">
        <v>1542</v>
      </c>
    </row>
    <row r="14" s="1" customFormat="1" ht="40" customHeight="1" spans="1:9">
      <c r="A14" s="78" t="s">
        <v>1086</v>
      </c>
      <c r="B14" s="79">
        <v>12</v>
      </c>
      <c r="C14" s="79" t="str">
        <f>_xlfn.DISPIMG("ID_A01A56B69EC04AEAA2EB34AE6E1AFE2E",1)</f>
        <v>=DISPIMG("ID_A01A56B69EC04AEAA2EB34AE6E1AFE2E",1)</v>
      </c>
      <c r="D14" s="80" t="s">
        <v>170</v>
      </c>
      <c r="E14" s="80" t="s">
        <v>1555</v>
      </c>
      <c r="F14" s="58">
        <v>65974</v>
      </c>
      <c r="G14" s="81">
        <v>5000</v>
      </c>
      <c r="H14" s="81">
        <v>1000</v>
      </c>
      <c r="I14" s="79" t="s">
        <v>1535</v>
      </c>
    </row>
    <row r="15" s="1" customFormat="1" ht="40" customHeight="1" spans="1:9">
      <c r="A15" s="75" t="s">
        <v>1086</v>
      </c>
      <c r="B15" s="76">
        <v>13</v>
      </c>
      <c r="C15" s="76" t="str">
        <f>_xlfn.DISPIMG("ID_C0369C1D442B4E6DBE6E0A428034CC10",1)</f>
        <v>=DISPIMG("ID_C0369C1D442B4E6DBE6E0A428034CC10",1)</v>
      </c>
      <c r="D15" s="77" t="s">
        <v>790</v>
      </c>
      <c r="E15" s="77" t="s">
        <v>1556</v>
      </c>
      <c r="F15" s="60">
        <v>76683</v>
      </c>
      <c r="G15" s="69">
        <v>25000</v>
      </c>
      <c r="H15" s="69">
        <v>1000</v>
      </c>
      <c r="I15" s="76" t="s">
        <v>1542</v>
      </c>
    </row>
    <row r="16" s="1" customFormat="1" ht="40" customHeight="1" spans="1:9">
      <c r="A16" s="78" t="s">
        <v>1086</v>
      </c>
      <c r="B16" s="79">
        <v>14</v>
      </c>
      <c r="C16" s="79" t="str">
        <f>_xlfn.DISPIMG("ID_AB5AFD618FEC46069DA7684CE61AD256",1)</f>
        <v>=DISPIMG("ID_AB5AFD618FEC46069DA7684CE61AD256",1)</v>
      </c>
      <c r="D16" s="80" t="s">
        <v>1557</v>
      </c>
      <c r="E16" s="80" t="s">
        <v>1558</v>
      </c>
      <c r="F16" s="58">
        <v>59326</v>
      </c>
      <c r="G16" s="81">
        <v>25000</v>
      </c>
      <c r="H16" s="81">
        <v>5000</v>
      </c>
      <c r="I16" s="79" t="s">
        <v>1542</v>
      </c>
    </row>
    <row r="17" s="1" customFormat="1" ht="40" customHeight="1" spans="1:9">
      <c r="A17" s="75" t="s">
        <v>1086</v>
      </c>
      <c r="B17" s="76">
        <v>15</v>
      </c>
      <c r="C17" s="76" t="str">
        <f>_xlfn.DISPIMG("ID_FB1725C3E8784889B3C65B0A2BFFCEF2",1)</f>
        <v>=DISPIMG("ID_FB1725C3E8784889B3C65B0A2BFFCEF2",1)</v>
      </c>
      <c r="D17" s="77" t="s">
        <v>114</v>
      </c>
      <c r="E17" s="77" t="s">
        <v>1559</v>
      </c>
      <c r="F17" s="60">
        <v>102787</v>
      </c>
      <c r="G17" s="69">
        <v>30000</v>
      </c>
      <c r="H17" s="69">
        <v>5000</v>
      </c>
      <c r="I17" s="76" t="s">
        <v>1535</v>
      </c>
    </row>
    <row r="18" s="1" customFormat="1" ht="40" customHeight="1" spans="1:9">
      <c r="A18" s="78" t="s">
        <v>1086</v>
      </c>
      <c r="B18" s="79">
        <v>16</v>
      </c>
      <c r="C18" s="79" t="str">
        <f>_xlfn.DISPIMG("ID_DAEAD40171974277989C87D4F39C2C7E",1)</f>
        <v>=DISPIMG("ID_DAEAD40171974277989C87D4F39C2C7E",1)</v>
      </c>
      <c r="D18" s="80" t="s">
        <v>1560</v>
      </c>
      <c r="E18" s="80" t="s">
        <v>1561</v>
      </c>
      <c r="F18" s="58">
        <v>49214</v>
      </c>
      <c r="G18" s="81">
        <v>10000</v>
      </c>
      <c r="H18" s="81">
        <v>1000</v>
      </c>
      <c r="I18" s="79" t="s">
        <v>1535</v>
      </c>
    </row>
    <row r="19" s="1" customFormat="1" ht="40" customHeight="1" spans="1:9">
      <c r="A19" s="75" t="s">
        <v>284</v>
      </c>
      <c r="B19" s="76">
        <v>17</v>
      </c>
      <c r="C19" s="76" t="str">
        <f>_xlfn.DISPIMG("ID_7A6739567D2D411AA24E294D9550D895",1)</f>
        <v>=DISPIMG("ID_7A6739567D2D411AA24E294D9550D895",1)</v>
      </c>
      <c r="D19" s="77" t="s">
        <v>1562</v>
      </c>
      <c r="E19" s="77" t="s">
        <v>1563</v>
      </c>
      <c r="F19" s="60">
        <v>36244</v>
      </c>
      <c r="G19" s="69">
        <v>2000</v>
      </c>
      <c r="H19" s="69">
        <v>2000</v>
      </c>
      <c r="I19" s="76" t="s">
        <v>1542</v>
      </c>
    </row>
    <row r="20" s="1" customFormat="1" ht="40" customHeight="1" spans="1:9">
      <c r="A20" s="78" t="s">
        <v>284</v>
      </c>
      <c r="B20" s="79">
        <v>18</v>
      </c>
      <c r="C20" s="79" t="str">
        <f>_xlfn.DISPIMG("ID_15DF3A6DBEC148C686645E22E40F4E4C",1)</f>
        <v>=DISPIMG("ID_15DF3A6DBEC148C686645E22E40F4E4C",1)</v>
      </c>
      <c r="D20" s="80" t="s">
        <v>1564</v>
      </c>
      <c r="E20" s="80" t="s">
        <v>1565</v>
      </c>
      <c r="F20" s="58">
        <v>71498</v>
      </c>
      <c r="G20" s="81">
        <v>10000</v>
      </c>
      <c r="H20" s="81" t="s">
        <v>39</v>
      </c>
      <c r="I20" s="79" t="s">
        <v>1542</v>
      </c>
    </row>
    <row r="21" s="1" customFormat="1" ht="40" customHeight="1" spans="1:9">
      <c r="A21" s="75" t="s">
        <v>284</v>
      </c>
      <c r="B21" s="76">
        <v>19</v>
      </c>
      <c r="C21" s="76" t="str">
        <f>_xlfn.DISPIMG("ID_F5EA9D11E33840EFBE3B8CBD3192C044",1)</f>
        <v>=DISPIMG("ID_F5EA9D11E33840EFBE3B8CBD3192C044",1)</v>
      </c>
      <c r="D21" s="77" t="s">
        <v>1566</v>
      </c>
      <c r="E21" s="77" t="s">
        <v>1567</v>
      </c>
      <c r="F21" s="60">
        <v>23421</v>
      </c>
      <c r="G21" s="69">
        <v>10000</v>
      </c>
      <c r="H21" s="69">
        <v>500</v>
      </c>
      <c r="I21" s="76" t="s">
        <v>1542</v>
      </c>
    </row>
    <row r="22" s="1" customFormat="1" ht="40" customHeight="1" spans="1:9">
      <c r="A22" s="78" t="s">
        <v>284</v>
      </c>
      <c r="B22" s="79">
        <v>20</v>
      </c>
      <c r="C22" s="79" t="str">
        <f>_xlfn.DISPIMG("ID_2484A8D868EC425E8939737377034235",1)</f>
        <v>=DISPIMG("ID_2484A8D868EC425E8939737377034235",1)</v>
      </c>
      <c r="D22" s="80" t="s">
        <v>1568</v>
      </c>
      <c r="E22" s="80" t="s">
        <v>1569</v>
      </c>
      <c r="F22" s="58">
        <v>400</v>
      </c>
      <c r="G22" s="81" t="s">
        <v>39</v>
      </c>
      <c r="H22" s="81">
        <v>500</v>
      </c>
      <c r="I22" s="79" t="s">
        <v>1542</v>
      </c>
    </row>
    <row r="23" s="1" customFormat="1" ht="40" customHeight="1" spans="1:9">
      <c r="A23" s="75" t="s">
        <v>1570</v>
      </c>
      <c r="B23" s="76">
        <v>21</v>
      </c>
      <c r="C23" s="76" t="str">
        <f>_xlfn.DISPIMG("ID_DA11735B583344F4A82F2C67BAA8654D",1)</f>
        <v>=DISPIMG("ID_DA11735B583344F4A82F2C67BAA8654D",1)</v>
      </c>
      <c r="D23" s="77" t="s">
        <v>1571</v>
      </c>
      <c r="E23" s="77" t="s">
        <v>1572</v>
      </c>
      <c r="F23" s="60">
        <v>160645</v>
      </c>
      <c r="G23" s="69">
        <v>25000</v>
      </c>
      <c r="H23" s="69">
        <v>5000</v>
      </c>
      <c r="I23" s="76" t="s">
        <v>1535</v>
      </c>
    </row>
    <row r="24" s="1" customFormat="1" ht="40" customHeight="1" spans="1:9">
      <c r="A24" s="78" t="s">
        <v>1570</v>
      </c>
      <c r="B24" s="79">
        <v>22</v>
      </c>
      <c r="C24" s="79" t="str">
        <f>_xlfn.DISPIMG("ID_F845F0F5143C4371838AA6AAD6CD942F",1)</f>
        <v>=DISPIMG("ID_F845F0F5143C4371838AA6AAD6CD942F",1)</v>
      </c>
      <c r="D24" s="80" t="s">
        <v>1573</v>
      </c>
      <c r="E24" s="80" t="s">
        <v>1574</v>
      </c>
      <c r="F24" s="58">
        <v>72620</v>
      </c>
      <c r="G24" s="81">
        <v>20000</v>
      </c>
      <c r="H24" s="81">
        <v>2000</v>
      </c>
      <c r="I24" s="79" t="s">
        <v>1535</v>
      </c>
    </row>
    <row r="25" s="1" customFormat="1" ht="40" customHeight="1" spans="1:9">
      <c r="A25" s="75" t="s">
        <v>1570</v>
      </c>
      <c r="B25" s="76">
        <v>23</v>
      </c>
      <c r="C25" s="76" t="str">
        <f>_xlfn.DISPIMG("ID_A290CB62DF864653937157D52A36932D",1)</f>
        <v>=DISPIMG("ID_A290CB62DF864653937157D52A36932D",1)</v>
      </c>
      <c r="D25" s="77" t="s">
        <v>1575</v>
      </c>
      <c r="E25" s="77" t="s">
        <v>1576</v>
      </c>
      <c r="F25" s="60">
        <v>67688</v>
      </c>
      <c r="G25" s="69">
        <v>20000</v>
      </c>
      <c r="H25" s="69">
        <v>3000</v>
      </c>
      <c r="I25" s="76" t="s">
        <v>1542</v>
      </c>
    </row>
    <row r="26" s="1" customFormat="1" ht="40" customHeight="1" spans="1:9">
      <c r="A26" s="78" t="s">
        <v>1070</v>
      </c>
      <c r="B26" s="79">
        <v>24</v>
      </c>
      <c r="C26" s="79" t="str">
        <f>_xlfn.DISPIMG("ID_8232BAB64D134CF2946D33DAA1528AC0",1)</f>
        <v>=DISPIMG("ID_8232BAB64D134CF2946D33DAA1528AC0",1)</v>
      </c>
      <c r="D26" s="80" t="s">
        <v>1577</v>
      </c>
      <c r="E26" s="80" t="s">
        <v>1578</v>
      </c>
      <c r="F26" s="58">
        <v>126010</v>
      </c>
      <c r="G26" s="81">
        <v>48000</v>
      </c>
      <c r="H26" s="81">
        <v>5000</v>
      </c>
      <c r="I26" s="79" t="s">
        <v>1535</v>
      </c>
    </row>
    <row r="27" s="1" customFormat="1" ht="40" customHeight="1" spans="1:9">
      <c r="A27" s="75" t="s">
        <v>448</v>
      </c>
      <c r="B27" s="76">
        <v>25</v>
      </c>
      <c r="C27" s="76" t="str">
        <f>_xlfn.DISPIMG("ID_626A900E97CD4D76BD090642741F6160",1)</f>
        <v>=DISPIMG("ID_626A900E97CD4D76BD090642741F6160",1)</v>
      </c>
      <c r="D27" s="77" t="s">
        <v>1579</v>
      </c>
      <c r="E27" s="77" t="s">
        <v>1580</v>
      </c>
      <c r="F27" s="60">
        <v>97578</v>
      </c>
      <c r="G27" s="69">
        <v>20000</v>
      </c>
      <c r="H27" s="69">
        <v>5000</v>
      </c>
      <c r="I27" s="76" t="s">
        <v>1535</v>
      </c>
    </row>
    <row r="28" s="1" customFormat="1" ht="40" customHeight="1" spans="1:9">
      <c r="A28" s="82" t="s">
        <v>448</v>
      </c>
      <c r="B28" s="83">
        <v>26</v>
      </c>
      <c r="C28" s="83" t="str">
        <f>_xlfn.DISPIMG("ID_E1DBFCF244A64834AF86EE586C001098",1)</f>
        <v>=DISPIMG("ID_E1DBFCF244A64834AF86EE586C001098",1)</v>
      </c>
      <c r="D28" s="84" t="s">
        <v>1581</v>
      </c>
      <c r="E28" s="84" t="s">
        <v>1582</v>
      </c>
      <c r="F28" s="85">
        <v>44093</v>
      </c>
      <c r="G28" s="86">
        <v>13000</v>
      </c>
      <c r="H28" s="86">
        <v>2000</v>
      </c>
      <c r="I28" s="83" t="s">
        <v>1535</v>
      </c>
    </row>
  </sheetData>
  <autoFilter xmlns:etc="http://www.wps.cn/officeDocument/2017/etCustomData" ref="A2:I28" etc:filterBottomFollowUsedRange="0">
    <extLst/>
  </autoFilter>
  <mergeCells count="1">
    <mergeCell ref="A1:I1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N30"/>
  <sheetViews>
    <sheetView workbookViewId="0">
      <pane xSplit="5" ySplit="2" topLeftCell="F3" activePane="bottomRight" state="frozen"/>
      <selection/>
      <selection pane="topRight"/>
      <selection pane="bottomLeft"/>
      <selection pane="bottomRight" activeCell="I10" sqref="I10"/>
    </sheetView>
  </sheetViews>
  <sheetFormatPr defaultColWidth="9.81666666666667" defaultRowHeight="13.5"/>
  <cols>
    <col min="1" max="1" width="7.725" style="28" customWidth="1"/>
    <col min="2" max="2" width="9.14166666666667" style="28" customWidth="1"/>
    <col min="3" max="3" width="7.625" style="28" customWidth="1"/>
    <col min="4" max="4" width="24.3583333333333" style="28" customWidth="1"/>
    <col min="5" max="5" width="15.7583333333333" style="28" customWidth="1"/>
    <col min="6" max="6" width="18.7583333333333" style="28" customWidth="1"/>
    <col min="7" max="7" width="11.3583333333333" style="51" customWidth="1"/>
    <col min="8" max="8" width="11.3583333333333" style="52" customWidth="1"/>
    <col min="9" max="9" width="11.3583333333333" style="28" customWidth="1"/>
    <col min="10" max="10" width="14.125" style="53" customWidth="1"/>
    <col min="11" max="11" width="14.5" style="53" customWidth="1"/>
    <col min="12" max="12" width="7.38333333333333" style="28" customWidth="1"/>
    <col min="13" max="13" width="13.3583333333333" style="28" customWidth="1"/>
    <col min="14" max="14" width="37.6333333333333" style="28" customWidth="1"/>
    <col min="15" max="16380" width="9.64166666666667" style="1"/>
    <col min="16381" max="16384" width="9.81666666666667" style="1"/>
  </cols>
  <sheetData>
    <row r="1" s="1" customFormat="1" ht="70" customHeight="1" spans="1:14">
      <c r="A1" s="7" t="s">
        <v>1583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30" customHeight="1" spans="1:14">
      <c r="A2" s="54" t="s">
        <v>1057</v>
      </c>
      <c r="B2" s="54" t="s">
        <v>7</v>
      </c>
      <c r="C2" s="54" t="s">
        <v>9</v>
      </c>
      <c r="D2" s="54" t="s">
        <v>1584</v>
      </c>
      <c r="E2" s="54" t="s">
        <v>1585</v>
      </c>
      <c r="F2" s="54" t="s">
        <v>1586</v>
      </c>
      <c r="G2" s="55" t="s">
        <v>1587</v>
      </c>
      <c r="H2" s="56" t="s">
        <v>18</v>
      </c>
      <c r="I2" s="54" t="s">
        <v>1588</v>
      </c>
      <c r="J2" s="54" t="s">
        <v>1589</v>
      </c>
      <c r="K2" s="54" t="s">
        <v>1590</v>
      </c>
      <c r="L2" s="54" t="s">
        <v>30</v>
      </c>
      <c r="M2" s="54" t="s">
        <v>1591</v>
      </c>
      <c r="N2" s="64" t="s">
        <v>1519</v>
      </c>
    </row>
    <row r="3" s="1" customFormat="1" ht="40" customHeight="1" spans="1:14">
      <c r="A3" s="57" t="s">
        <v>1070</v>
      </c>
      <c r="B3" s="48">
        <v>1</v>
      </c>
      <c r="C3" s="48" t="str">
        <f>_xlfn.DISPIMG("ID_DF88F420442B491A9C2F559EA8524D3B",1)</f>
        <v>=DISPIMG("ID_DF88F420442B491A9C2F559EA8524D3B",1)</v>
      </c>
      <c r="D3" s="32" t="s">
        <v>68</v>
      </c>
      <c r="E3" s="48">
        <v>1267663386</v>
      </c>
      <c r="F3" s="32" t="s">
        <v>1592</v>
      </c>
      <c r="G3" s="58">
        <v>8079133</v>
      </c>
      <c r="H3" s="57">
        <v>238</v>
      </c>
      <c r="I3" s="65" t="s">
        <v>39</v>
      </c>
      <c r="J3" s="65" t="s">
        <v>39</v>
      </c>
      <c r="K3" s="65">
        <v>1800000</v>
      </c>
      <c r="L3" s="32" t="s">
        <v>43</v>
      </c>
      <c r="M3" s="32" t="s">
        <v>1535</v>
      </c>
      <c r="N3" s="66" t="s">
        <v>1593</v>
      </c>
    </row>
    <row r="4" s="1" customFormat="1" ht="40" customHeight="1" spans="1:14">
      <c r="A4" s="59" t="s">
        <v>1070</v>
      </c>
      <c r="B4" s="37">
        <v>2</v>
      </c>
      <c r="C4" s="37" t="str">
        <f>_xlfn.DISPIMG("ID_2822CA7DD28E4D9B81A96CD835701EAD",1)</f>
        <v>=DISPIMG("ID_2822CA7DD28E4D9B81A96CD835701EAD",1)</v>
      </c>
      <c r="D4" s="37" t="s">
        <v>683</v>
      </c>
      <c r="E4" s="37" t="s">
        <v>1594</v>
      </c>
      <c r="F4" s="37" t="s">
        <v>686</v>
      </c>
      <c r="G4" s="60">
        <v>2850233</v>
      </c>
      <c r="H4" s="59">
        <v>244</v>
      </c>
      <c r="I4" s="67">
        <v>30000</v>
      </c>
      <c r="J4" s="67">
        <v>50000</v>
      </c>
      <c r="K4" s="67">
        <v>65000</v>
      </c>
      <c r="L4" s="37" t="s">
        <v>43</v>
      </c>
      <c r="M4" s="37" t="s">
        <v>1535</v>
      </c>
      <c r="N4" s="68" t="s">
        <v>1595</v>
      </c>
    </row>
    <row r="5" s="1" customFormat="1" ht="40" customHeight="1" spans="1:14">
      <c r="A5" s="57" t="s">
        <v>1070</v>
      </c>
      <c r="B5" s="48">
        <v>3</v>
      </c>
      <c r="C5" s="48" t="str">
        <f>_xlfn.DISPIMG("ID_2BF09A0B37DD4324BF08EA56EC8809F3",1)</f>
        <v>=DISPIMG("ID_2BF09A0B37DD4324BF08EA56EC8809F3",1)</v>
      </c>
      <c r="D5" s="32" t="s">
        <v>1577</v>
      </c>
      <c r="E5" s="48">
        <v>1553250271</v>
      </c>
      <c r="F5" s="32" t="s">
        <v>538</v>
      </c>
      <c r="G5" s="58">
        <v>1450902</v>
      </c>
      <c r="H5" s="57" t="s">
        <v>39</v>
      </c>
      <c r="I5" s="65">
        <v>12000</v>
      </c>
      <c r="J5" s="65">
        <v>16000</v>
      </c>
      <c r="K5" s="65">
        <v>21000</v>
      </c>
      <c r="L5" s="32" t="s">
        <v>43</v>
      </c>
      <c r="M5" s="32" t="s">
        <v>1535</v>
      </c>
      <c r="N5" s="66" t="s">
        <v>1596</v>
      </c>
    </row>
    <row r="6" s="1" customFormat="1" ht="40" customHeight="1" spans="1:14">
      <c r="A6" s="59" t="s">
        <v>1597</v>
      </c>
      <c r="B6" s="37">
        <v>4</v>
      </c>
      <c r="C6" s="37" t="str">
        <f>_xlfn.DISPIMG("ID_842E70D6C5444F43B9B07890F4642BA6",1)</f>
        <v>=DISPIMG("ID_842E70D6C5444F43B9B07890F4642BA6",1)</v>
      </c>
      <c r="D6" s="37" t="s">
        <v>465</v>
      </c>
      <c r="E6" s="37">
        <v>1478432811</v>
      </c>
      <c r="F6" s="37" t="s">
        <v>59</v>
      </c>
      <c r="G6" s="60">
        <v>2441565</v>
      </c>
      <c r="H6" s="59" t="s">
        <v>39</v>
      </c>
      <c r="I6" s="69">
        <v>37000</v>
      </c>
      <c r="J6" s="69">
        <v>37000</v>
      </c>
      <c r="K6" s="67">
        <v>78000</v>
      </c>
      <c r="L6" s="37" t="s">
        <v>43</v>
      </c>
      <c r="M6" s="37" t="s">
        <v>1535</v>
      </c>
      <c r="N6" s="68" t="s">
        <v>1598</v>
      </c>
    </row>
    <row r="7" s="1" customFormat="1" ht="40" customHeight="1" spans="1:14">
      <c r="A7" s="32" t="s">
        <v>1086</v>
      </c>
      <c r="B7" s="32">
        <v>5</v>
      </c>
      <c r="C7" s="32" t="str">
        <f>_xlfn.DISPIMG("ID_5465629EB21547AC9697D20C626B9ADE",1)</f>
        <v>=DISPIMG("ID_5465629EB21547AC9697D20C626B9ADE",1)</v>
      </c>
      <c r="D7" s="32" t="s">
        <v>81</v>
      </c>
      <c r="E7" s="32" t="s">
        <v>1325</v>
      </c>
      <c r="F7" s="32" t="s">
        <v>1599</v>
      </c>
      <c r="G7" s="58">
        <v>8863158</v>
      </c>
      <c r="H7" s="57" t="s">
        <v>39</v>
      </c>
      <c r="I7" s="65">
        <v>140000</v>
      </c>
      <c r="J7" s="65">
        <v>160000</v>
      </c>
      <c r="K7" s="65">
        <v>210000</v>
      </c>
      <c r="L7" s="32" t="s">
        <v>43</v>
      </c>
      <c r="M7" s="32" t="s">
        <v>1535</v>
      </c>
      <c r="N7" s="66" t="s">
        <v>1600</v>
      </c>
    </row>
    <row r="8" s="1" customFormat="1" ht="40" customHeight="1" spans="1:14">
      <c r="A8" s="37" t="s">
        <v>1086</v>
      </c>
      <c r="B8" s="37">
        <v>6</v>
      </c>
      <c r="C8" s="37" t="str">
        <f>_xlfn.DISPIMG("ID_26D1295F321E48D4BF3B83DA8D2BEDF0",1)</f>
        <v>=DISPIMG("ID_26D1295F321E48D4BF3B83DA8D2BEDF0",1)</v>
      </c>
      <c r="D8" s="37" t="s">
        <v>93</v>
      </c>
      <c r="E8" s="37">
        <v>1706040944</v>
      </c>
      <c r="F8" s="37" t="s">
        <v>151</v>
      </c>
      <c r="G8" s="60">
        <v>4174019</v>
      </c>
      <c r="H8" s="59" t="s">
        <v>39</v>
      </c>
      <c r="I8" s="67">
        <v>405</v>
      </c>
      <c r="J8" s="67">
        <v>200000</v>
      </c>
      <c r="K8" s="67">
        <v>250000</v>
      </c>
      <c r="L8" s="37" t="s">
        <v>43</v>
      </c>
      <c r="M8" s="37" t="s">
        <v>1535</v>
      </c>
      <c r="N8" s="68" t="s">
        <v>1601</v>
      </c>
    </row>
    <row r="9" s="1" customFormat="1" ht="40" customHeight="1" spans="1:14">
      <c r="A9" s="32" t="s">
        <v>1086</v>
      </c>
      <c r="B9" s="32">
        <v>7</v>
      </c>
      <c r="C9" s="32" t="str">
        <f>_xlfn.DISPIMG("ID_EA258259F9F540969492DBE4307EC17C",1)</f>
        <v>=DISPIMG("ID_EA258259F9F540969492DBE4307EC17C",1)</v>
      </c>
      <c r="D9" s="32" t="s">
        <v>126</v>
      </c>
      <c r="E9" s="32">
        <v>1531106761</v>
      </c>
      <c r="F9" s="32" t="s">
        <v>151</v>
      </c>
      <c r="G9" s="58">
        <v>1735447</v>
      </c>
      <c r="H9" s="57" t="s">
        <v>39</v>
      </c>
      <c r="I9" s="65" t="s">
        <v>39</v>
      </c>
      <c r="J9" s="65">
        <v>58000</v>
      </c>
      <c r="K9" s="65">
        <v>70000</v>
      </c>
      <c r="L9" s="32" t="s">
        <v>43</v>
      </c>
      <c r="M9" s="32" t="s">
        <v>1535</v>
      </c>
      <c r="N9" s="66" t="s">
        <v>1602</v>
      </c>
    </row>
    <row r="10" s="1" customFormat="1" ht="40" customHeight="1" spans="1:14">
      <c r="A10" s="37" t="s">
        <v>1086</v>
      </c>
      <c r="B10" s="37">
        <v>8</v>
      </c>
      <c r="C10" s="37" t="str">
        <f>_xlfn.DISPIMG("ID_44D20FEE6BF8478AA7A833989426D7D3",1)</f>
        <v>=DISPIMG("ID_44D20FEE6BF8478AA7A833989426D7D3",1)</v>
      </c>
      <c r="D10" s="37" t="s">
        <v>1603</v>
      </c>
      <c r="E10" s="37">
        <v>1847953240</v>
      </c>
      <c r="F10" s="37" t="s">
        <v>1604</v>
      </c>
      <c r="G10" s="60">
        <v>1360505</v>
      </c>
      <c r="H10" s="59" t="s">
        <v>39</v>
      </c>
      <c r="I10" s="67">
        <v>50000</v>
      </c>
      <c r="J10" s="67">
        <v>50000</v>
      </c>
      <c r="K10" s="67">
        <v>65000</v>
      </c>
      <c r="L10" s="37" t="s">
        <v>43</v>
      </c>
      <c r="M10" s="37" t="s">
        <v>1535</v>
      </c>
      <c r="N10" s="68" t="s">
        <v>1605</v>
      </c>
    </row>
    <row r="11" s="1" customFormat="1" ht="40" customHeight="1" spans="1:14">
      <c r="A11" s="32" t="s">
        <v>1086</v>
      </c>
      <c r="B11" s="32">
        <v>9</v>
      </c>
      <c r="C11" s="32" t="str">
        <f>_xlfn.DISPIMG("ID_8503B5DF2ACE4D4F8E79C83170350E98",1)</f>
        <v>=DISPIMG("ID_8503B5DF2ACE4D4F8E79C83170350E98",1)</v>
      </c>
      <c r="D11" s="32" t="s">
        <v>170</v>
      </c>
      <c r="E11" s="32">
        <v>2371429600</v>
      </c>
      <c r="F11" s="32" t="s">
        <v>151</v>
      </c>
      <c r="G11" s="58">
        <v>799692</v>
      </c>
      <c r="H11" s="57" t="s">
        <v>39</v>
      </c>
      <c r="I11" s="65" t="s">
        <v>39</v>
      </c>
      <c r="J11" s="65">
        <v>30000</v>
      </c>
      <c r="K11" s="65">
        <v>35000</v>
      </c>
      <c r="L11" s="32" t="s">
        <v>43</v>
      </c>
      <c r="M11" s="32" t="s">
        <v>1535</v>
      </c>
      <c r="N11" s="66" t="s">
        <v>1606</v>
      </c>
    </row>
    <row r="12" s="1" customFormat="1" ht="40" customHeight="1" spans="1:14">
      <c r="A12" s="37" t="s">
        <v>1086</v>
      </c>
      <c r="B12" s="37">
        <v>10</v>
      </c>
      <c r="C12" s="37" t="str">
        <f>_xlfn.DISPIMG("ID_F25E324AE5054E67926089463596587E",1)</f>
        <v>=DISPIMG("ID_F25E324AE5054E67926089463596587E",1)</v>
      </c>
      <c r="D12" s="37" t="s">
        <v>1607</v>
      </c>
      <c r="E12" s="37">
        <v>1488857521</v>
      </c>
      <c r="F12" s="37" t="s">
        <v>1608</v>
      </c>
      <c r="G12" s="60">
        <v>1055589</v>
      </c>
      <c r="H12" s="59">
        <v>745</v>
      </c>
      <c r="I12" s="67">
        <v>30000</v>
      </c>
      <c r="J12" s="67">
        <v>30000</v>
      </c>
      <c r="K12" s="67">
        <v>55000</v>
      </c>
      <c r="L12" s="37" t="s">
        <v>43</v>
      </c>
      <c r="M12" s="37" t="s">
        <v>1535</v>
      </c>
      <c r="N12" s="68" t="s">
        <v>1609</v>
      </c>
    </row>
    <row r="13" s="1" customFormat="1" ht="40" customHeight="1" spans="1:14">
      <c r="A13" s="32" t="s">
        <v>1086</v>
      </c>
      <c r="B13" s="32">
        <v>11</v>
      </c>
      <c r="C13" s="32" t="str">
        <f>_xlfn.DISPIMG("ID_025CA94001EB422FA8A8B10D9D24F3E4",1)</f>
        <v>=DISPIMG("ID_025CA94001EB422FA8A8B10D9D24F3E4",1)</v>
      </c>
      <c r="D13" s="32" t="s">
        <v>148</v>
      </c>
      <c r="E13" s="32">
        <v>1959288705</v>
      </c>
      <c r="F13" s="32" t="s">
        <v>151</v>
      </c>
      <c r="G13" s="58">
        <v>510456</v>
      </c>
      <c r="H13" s="57" t="s">
        <v>39</v>
      </c>
      <c r="I13" s="65" t="s">
        <v>39</v>
      </c>
      <c r="J13" s="65">
        <v>25000</v>
      </c>
      <c r="K13" s="65">
        <v>30000</v>
      </c>
      <c r="L13" s="32" t="s">
        <v>43</v>
      </c>
      <c r="M13" s="32" t="s">
        <v>1535</v>
      </c>
      <c r="N13" s="66" t="s">
        <v>1610</v>
      </c>
    </row>
    <row r="14" s="1" customFormat="1" ht="40" customHeight="1" spans="1:14">
      <c r="A14" s="37" t="s">
        <v>1086</v>
      </c>
      <c r="B14" s="37">
        <v>12</v>
      </c>
      <c r="C14" s="37" t="str">
        <f>_xlfn.DISPIMG("ID_76C7B55021AF42D1BA111CC35C0756B9",1)</f>
        <v>=DISPIMG("ID_76C7B55021AF42D1BA111CC35C0756B9",1)</v>
      </c>
      <c r="D14" s="37" t="s">
        <v>103</v>
      </c>
      <c r="E14" s="37">
        <v>2826374726</v>
      </c>
      <c r="F14" s="37" t="s">
        <v>151</v>
      </c>
      <c r="G14" s="60">
        <v>353408</v>
      </c>
      <c r="H14" s="59" t="s">
        <v>39</v>
      </c>
      <c r="I14" s="67">
        <v>20000</v>
      </c>
      <c r="J14" s="67">
        <v>50000</v>
      </c>
      <c r="K14" s="67">
        <v>98000</v>
      </c>
      <c r="L14" s="37" t="s">
        <v>43</v>
      </c>
      <c r="M14" s="37" t="s">
        <v>1535</v>
      </c>
      <c r="N14" s="68" t="s">
        <v>1611</v>
      </c>
    </row>
    <row r="15" s="1" customFormat="1" ht="40" customHeight="1" spans="1:14">
      <c r="A15" s="32" t="s">
        <v>1086</v>
      </c>
      <c r="B15" s="32">
        <v>13</v>
      </c>
      <c r="C15" s="32" t="str">
        <f>_xlfn.DISPIMG("ID_6F063E78CAA44C75BAB4ABB2103D579B",1)</f>
        <v>=DISPIMG("ID_6F063E78CAA44C75BAB4ABB2103D579B",1)</v>
      </c>
      <c r="D15" s="32" t="s">
        <v>114</v>
      </c>
      <c r="E15" s="32" t="s">
        <v>116</v>
      </c>
      <c r="F15" s="32" t="s">
        <v>1086</v>
      </c>
      <c r="G15" s="58">
        <v>913718</v>
      </c>
      <c r="H15" s="57">
        <v>130</v>
      </c>
      <c r="I15" s="65" t="s">
        <v>39</v>
      </c>
      <c r="J15" s="65" t="s">
        <v>1612</v>
      </c>
      <c r="K15" s="65">
        <v>128000</v>
      </c>
      <c r="L15" s="32" t="s">
        <v>43</v>
      </c>
      <c r="M15" s="32" t="s">
        <v>1535</v>
      </c>
      <c r="N15" s="66" t="s">
        <v>1613</v>
      </c>
    </row>
    <row r="16" s="1" customFormat="1" ht="40" customHeight="1" spans="1:14">
      <c r="A16" s="37" t="s">
        <v>284</v>
      </c>
      <c r="B16" s="37">
        <v>14</v>
      </c>
      <c r="C16" s="37" t="str">
        <f>_xlfn.DISPIMG("ID_1FBA0DA8850F45B18BD38BE9C61D257B",1)</f>
        <v>=DISPIMG("ID_1FBA0DA8850F45B18BD38BE9C61D257B",1)</v>
      </c>
      <c r="D16" s="37" t="s">
        <v>1614</v>
      </c>
      <c r="E16" s="37">
        <v>121170885</v>
      </c>
      <c r="F16" s="37" t="s">
        <v>272</v>
      </c>
      <c r="G16" s="60">
        <v>267920</v>
      </c>
      <c r="H16" s="59" t="s">
        <v>39</v>
      </c>
      <c r="I16" s="67">
        <v>1500</v>
      </c>
      <c r="J16" s="67">
        <v>1800</v>
      </c>
      <c r="K16" s="67">
        <v>2000</v>
      </c>
      <c r="L16" s="37" t="s">
        <v>43</v>
      </c>
      <c r="M16" s="37" t="s">
        <v>1535</v>
      </c>
      <c r="N16" s="68" t="s">
        <v>1615</v>
      </c>
    </row>
    <row r="17" s="1" customFormat="1" ht="40" customHeight="1" spans="1:14">
      <c r="A17" s="32" t="s">
        <v>1536</v>
      </c>
      <c r="B17" s="32">
        <v>15</v>
      </c>
      <c r="C17" s="32" t="str">
        <f>_xlfn.DISPIMG("ID_FF56D58A0B064C748DEF09A2D4A64B27",1)</f>
        <v>=DISPIMG("ID_FF56D58A0B064C748DEF09A2D4A64B27",1)</v>
      </c>
      <c r="D17" s="32" t="s">
        <v>422</v>
      </c>
      <c r="E17" s="32" t="s">
        <v>424</v>
      </c>
      <c r="F17" s="32" t="s">
        <v>425</v>
      </c>
      <c r="G17" s="58">
        <v>509086</v>
      </c>
      <c r="H17" s="57" t="s">
        <v>39</v>
      </c>
      <c r="I17" s="65">
        <v>10000</v>
      </c>
      <c r="J17" s="65">
        <v>10000</v>
      </c>
      <c r="K17" s="65">
        <v>13000</v>
      </c>
      <c r="L17" s="32" t="s">
        <v>43</v>
      </c>
      <c r="M17" s="32" t="s">
        <v>1535</v>
      </c>
      <c r="N17" s="66" t="s">
        <v>1616</v>
      </c>
    </row>
    <row r="18" s="1" customFormat="1" ht="40" customHeight="1" spans="1:14">
      <c r="A18" s="37" t="s">
        <v>448</v>
      </c>
      <c r="B18" s="37">
        <v>16</v>
      </c>
      <c r="C18" s="37" t="str">
        <f>_xlfn.DISPIMG("ID_59640D096FE148F6B42C0ED407B6C28F",1)</f>
        <v>=DISPIMG("ID_59640D096FE148F6B42C0ED407B6C28F",1)</v>
      </c>
      <c r="D18" s="37" t="s">
        <v>1617</v>
      </c>
      <c r="E18" s="37" t="s">
        <v>1618</v>
      </c>
      <c r="F18" s="37" t="s">
        <v>1619</v>
      </c>
      <c r="G18" s="60">
        <v>13703000</v>
      </c>
      <c r="H18" s="59">
        <v>28</v>
      </c>
      <c r="I18" s="67">
        <v>100000</v>
      </c>
      <c r="J18" s="67">
        <v>100000</v>
      </c>
      <c r="K18" s="67">
        <v>130000</v>
      </c>
      <c r="L18" s="37" t="s">
        <v>43</v>
      </c>
      <c r="M18" s="37" t="s">
        <v>1542</v>
      </c>
      <c r="N18" s="68" t="s">
        <v>1620</v>
      </c>
    </row>
    <row r="19" s="1" customFormat="1" ht="40" customHeight="1" spans="1:14">
      <c r="A19" s="32" t="s">
        <v>448</v>
      </c>
      <c r="B19" s="32">
        <v>17</v>
      </c>
      <c r="C19" s="32" t="str">
        <f>_xlfn.DISPIMG("ID_A470CADDD32A4951BCC6495B4A9B85F5",1)</f>
        <v>=DISPIMG("ID_A470CADDD32A4951BCC6495B4A9B85F5",1)</v>
      </c>
      <c r="D19" s="32" t="s">
        <v>1621</v>
      </c>
      <c r="E19" s="32" t="s">
        <v>1622</v>
      </c>
      <c r="F19" s="32" t="s">
        <v>1623</v>
      </c>
      <c r="G19" s="58">
        <v>14378798</v>
      </c>
      <c r="H19" s="57" t="s">
        <v>39</v>
      </c>
      <c r="I19" s="65">
        <v>80000</v>
      </c>
      <c r="J19" s="65">
        <v>108000</v>
      </c>
      <c r="K19" s="65" t="s">
        <v>1624</v>
      </c>
      <c r="L19" s="32" t="s">
        <v>43</v>
      </c>
      <c r="M19" s="32" t="s">
        <v>1535</v>
      </c>
      <c r="N19" s="66" t="s">
        <v>1625</v>
      </c>
    </row>
    <row r="20" s="1" customFormat="1" ht="40" customHeight="1" spans="1:14">
      <c r="A20" s="37" t="s">
        <v>448</v>
      </c>
      <c r="B20" s="37">
        <v>18</v>
      </c>
      <c r="C20" s="37" t="str">
        <f>_xlfn.DISPIMG("ID_20E53883F1124D6F8D6D09ABD2B68B86",1)</f>
        <v>=DISPIMG("ID_20E53883F1124D6F8D6D09ABD2B68B86",1)</v>
      </c>
      <c r="D20" s="37" t="s">
        <v>1479</v>
      </c>
      <c r="E20" s="37" t="s">
        <v>1626</v>
      </c>
      <c r="F20" s="37" t="s">
        <v>1627</v>
      </c>
      <c r="G20" s="60">
        <v>1422250</v>
      </c>
      <c r="H20" s="59" t="s">
        <v>39</v>
      </c>
      <c r="I20" s="67">
        <v>8000</v>
      </c>
      <c r="J20" s="67">
        <v>10000</v>
      </c>
      <c r="K20" s="67">
        <v>25000</v>
      </c>
      <c r="L20" s="37" t="s">
        <v>43</v>
      </c>
      <c r="M20" s="37" t="s">
        <v>1535</v>
      </c>
      <c r="N20" s="68" t="s">
        <v>1628</v>
      </c>
    </row>
    <row r="21" s="1" customFormat="1" ht="40" customHeight="1" spans="1:14">
      <c r="A21" s="32" t="s">
        <v>448</v>
      </c>
      <c r="B21" s="32">
        <v>19</v>
      </c>
      <c r="C21" s="32" t="str">
        <f>_xlfn.DISPIMG("ID_663EA6CF7ADA4C04BFCE7AC30DCA86B5",1)</f>
        <v>=DISPIMG("ID_663EA6CF7ADA4C04BFCE7AC30DCA86B5",1)</v>
      </c>
      <c r="D21" s="32" t="s">
        <v>558</v>
      </c>
      <c r="E21" s="32" t="s">
        <v>1629</v>
      </c>
      <c r="F21" s="32" t="s">
        <v>448</v>
      </c>
      <c r="G21" s="58">
        <v>684896</v>
      </c>
      <c r="H21" s="57" t="s">
        <v>39</v>
      </c>
      <c r="I21" s="65">
        <v>10000</v>
      </c>
      <c r="J21" s="65">
        <v>10000</v>
      </c>
      <c r="K21" s="65">
        <v>13000</v>
      </c>
      <c r="L21" s="32" t="s">
        <v>43</v>
      </c>
      <c r="M21" s="32" t="s">
        <v>1535</v>
      </c>
      <c r="N21" s="66" t="s">
        <v>1630</v>
      </c>
    </row>
    <row r="22" s="1" customFormat="1" ht="40" customHeight="1" spans="1:14">
      <c r="A22" s="37" t="s">
        <v>448</v>
      </c>
      <c r="B22" s="37">
        <v>20</v>
      </c>
      <c r="C22" s="37" t="str">
        <f>_xlfn.DISPIMG("ID_F258CD6BFCC5411D95997B2394662D36",1)</f>
        <v>=DISPIMG("ID_F258CD6BFCC5411D95997B2394662D36",1)</v>
      </c>
      <c r="D22" s="37" t="s">
        <v>445</v>
      </c>
      <c r="E22" s="37">
        <v>174655943</v>
      </c>
      <c r="F22" s="37" t="s">
        <v>448</v>
      </c>
      <c r="G22" s="60">
        <v>674789</v>
      </c>
      <c r="H22" s="59">
        <v>102</v>
      </c>
      <c r="I22" s="67">
        <v>4500</v>
      </c>
      <c r="J22" s="67">
        <v>4500</v>
      </c>
      <c r="K22" s="67">
        <v>6000</v>
      </c>
      <c r="L22" s="37" t="s">
        <v>43</v>
      </c>
      <c r="M22" s="37" t="s">
        <v>1542</v>
      </c>
      <c r="N22" s="68" t="s">
        <v>1631</v>
      </c>
    </row>
    <row r="23" s="1" customFormat="1" ht="40" customHeight="1" spans="1:14">
      <c r="A23" s="32" t="s">
        <v>448</v>
      </c>
      <c r="B23" s="32">
        <v>21</v>
      </c>
      <c r="C23" s="32" t="str">
        <f>_xlfn.DISPIMG("ID_995EE315F48E49AD836D346EDF1F3A53",1)</f>
        <v>=DISPIMG("ID_995EE315F48E49AD836D346EDF1F3A53",1)</v>
      </c>
      <c r="D23" s="32" t="s">
        <v>1632</v>
      </c>
      <c r="E23" s="32">
        <v>2297143</v>
      </c>
      <c r="F23" s="32" t="s">
        <v>448</v>
      </c>
      <c r="G23" s="58">
        <v>538778</v>
      </c>
      <c r="H23" s="57" t="s">
        <v>39</v>
      </c>
      <c r="I23" s="65">
        <v>8400</v>
      </c>
      <c r="J23" s="65">
        <v>8400</v>
      </c>
      <c r="K23" s="65">
        <v>11000</v>
      </c>
      <c r="L23" s="32" t="s">
        <v>43</v>
      </c>
      <c r="M23" s="32" t="s">
        <v>1535</v>
      </c>
      <c r="N23" s="66" t="s">
        <v>1633</v>
      </c>
    </row>
    <row r="24" s="1" customFormat="1" ht="40" customHeight="1" spans="1:14">
      <c r="A24" s="37" t="s">
        <v>448</v>
      </c>
      <c r="B24" s="37">
        <v>22</v>
      </c>
      <c r="C24" s="37" t="str">
        <f>_xlfn.DISPIMG("ID_11248BC070EE486982BB0B5EC2E9CB12",1)</f>
        <v>=DISPIMG("ID_11248BC070EE486982BB0B5EC2E9CB12",1)</v>
      </c>
      <c r="D24" s="37" t="s">
        <v>1293</v>
      </c>
      <c r="E24" s="37">
        <v>5787752</v>
      </c>
      <c r="F24" s="37" t="s">
        <v>448</v>
      </c>
      <c r="G24" s="60">
        <v>365293</v>
      </c>
      <c r="H24" s="59" t="s">
        <v>39</v>
      </c>
      <c r="I24" s="67">
        <v>10000</v>
      </c>
      <c r="J24" s="67">
        <v>12000</v>
      </c>
      <c r="K24" s="67">
        <v>15000</v>
      </c>
      <c r="L24" s="37" t="s">
        <v>43</v>
      </c>
      <c r="M24" s="37" t="s">
        <v>1535</v>
      </c>
      <c r="N24" s="68" t="s">
        <v>1634</v>
      </c>
    </row>
    <row r="25" s="1" customFormat="1" ht="40" customHeight="1" spans="1:14">
      <c r="A25" s="32" t="s">
        <v>813</v>
      </c>
      <c r="B25" s="32">
        <v>23</v>
      </c>
      <c r="C25" s="32" t="str">
        <f>_xlfn.DISPIMG("ID_2D4F19422DD94E92A557E4477C27D288",1)</f>
        <v>=DISPIMG("ID_2D4F19422DD94E92A557E4477C27D288",1)</v>
      </c>
      <c r="D25" s="32" t="s">
        <v>790</v>
      </c>
      <c r="E25" s="32" t="s">
        <v>1635</v>
      </c>
      <c r="F25" s="32" t="s">
        <v>772</v>
      </c>
      <c r="G25" s="58">
        <v>858247</v>
      </c>
      <c r="H25" s="57" t="s">
        <v>39</v>
      </c>
      <c r="I25" s="65">
        <v>30000</v>
      </c>
      <c r="J25" s="65">
        <v>30000</v>
      </c>
      <c r="K25" s="65">
        <v>30000</v>
      </c>
      <c r="L25" s="32" t="s">
        <v>43</v>
      </c>
      <c r="M25" s="32" t="s">
        <v>1535</v>
      </c>
      <c r="N25" s="66" t="s">
        <v>1636</v>
      </c>
    </row>
    <row r="26" s="1" customFormat="1" ht="40" customHeight="1" spans="1:14">
      <c r="A26" s="37" t="s">
        <v>813</v>
      </c>
      <c r="B26" s="37">
        <v>24</v>
      </c>
      <c r="C26" s="37" t="str">
        <f>_xlfn.DISPIMG("ID_98EC605DA00F4B9EA1F7DBB13BEEDD8D",1)</f>
        <v>=DISPIMG("ID_98EC605DA00F4B9EA1F7DBB13BEEDD8D",1)</v>
      </c>
      <c r="D26" s="37" t="s">
        <v>1637</v>
      </c>
      <c r="E26" s="37" t="s">
        <v>1638</v>
      </c>
      <c r="F26" s="37" t="s">
        <v>599</v>
      </c>
      <c r="G26" s="60">
        <v>654217</v>
      </c>
      <c r="H26" s="59">
        <v>765</v>
      </c>
      <c r="I26" s="67">
        <v>15000</v>
      </c>
      <c r="J26" s="67">
        <v>15000</v>
      </c>
      <c r="K26" s="67">
        <v>20000</v>
      </c>
      <c r="L26" s="37" t="s">
        <v>43</v>
      </c>
      <c r="M26" s="37" t="s">
        <v>1535</v>
      </c>
      <c r="N26" s="68" t="s">
        <v>1639</v>
      </c>
    </row>
    <row r="27" s="1" customFormat="1" ht="40" customHeight="1" spans="1:14">
      <c r="A27" s="32" t="s">
        <v>813</v>
      </c>
      <c r="B27" s="32">
        <v>25</v>
      </c>
      <c r="C27" s="32" t="str">
        <f>_xlfn.DISPIMG("ID_B29E0B8463234924BBB65C6C79031091",1)</f>
        <v>=DISPIMG("ID_B29E0B8463234924BBB65C6C79031091",1)</v>
      </c>
      <c r="D27" s="32" t="s">
        <v>1640</v>
      </c>
      <c r="E27" s="32">
        <v>514366458</v>
      </c>
      <c r="F27" s="32" t="s">
        <v>599</v>
      </c>
      <c r="G27" s="58">
        <v>646950</v>
      </c>
      <c r="H27" s="57" t="s">
        <v>39</v>
      </c>
      <c r="I27" s="65" t="s">
        <v>39</v>
      </c>
      <c r="J27" s="65">
        <v>6000</v>
      </c>
      <c r="K27" s="65" t="s">
        <v>39</v>
      </c>
      <c r="L27" s="32" t="s">
        <v>43</v>
      </c>
      <c r="M27" s="32" t="s">
        <v>1535</v>
      </c>
      <c r="N27" s="66" t="s">
        <v>1641</v>
      </c>
    </row>
    <row r="28" s="1" customFormat="1" ht="40" customHeight="1" spans="1:14">
      <c r="A28" s="37" t="s">
        <v>1642</v>
      </c>
      <c r="B28" s="37">
        <v>26</v>
      </c>
      <c r="C28" s="37" t="str">
        <f>_xlfn.DISPIMG("ID_160376FC8C8D4E8BA2F154BAA03B7139",1)</f>
        <v>=DISPIMG("ID_160376FC8C8D4E8BA2F154BAA03B7139",1)</v>
      </c>
      <c r="D28" s="37" t="s">
        <v>1643</v>
      </c>
      <c r="E28" s="37" t="s">
        <v>357</v>
      </c>
      <c r="F28" s="37" t="s">
        <v>358</v>
      </c>
      <c r="G28" s="60">
        <v>191544</v>
      </c>
      <c r="H28" s="59" t="s">
        <v>39</v>
      </c>
      <c r="I28" s="67" t="s">
        <v>39</v>
      </c>
      <c r="J28" s="67">
        <v>6000</v>
      </c>
      <c r="K28" s="67">
        <v>9000</v>
      </c>
      <c r="L28" s="37" t="s">
        <v>354</v>
      </c>
      <c r="M28" s="37" t="s">
        <v>1644</v>
      </c>
      <c r="N28" s="68" t="s">
        <v>1645</v>
      </c>
    </row>
    <row r="29" s="1" customFormat="1" ht="40" customHeight="1" spans="1:14">
      <c r="A29" s="32" t="s">
        <v>1646</v>
      </c>
      <c r="B29" s="32">
        <v>27</v>
      </c>
      <c r="C29" s="32" t="str">
        <f>_xlfn.DISPIMG("ID_F70DEC92B2DB48969925335DDA7128E1",1)</f>
        <v>=DISPIMG("ID_F70DEC92B2DB48969925335DDA7128E1",1)</v>
      </c>
      <c r="D29" s="32" t="s">
        <v>1647</v>
      </c>
      <c r="E29" s="32" t="s">
        <v>1648</v>
      </c>
      <c r="F29" s="32" t="s">
        <v>1649</v>
      </c>
      <c r="G29" s="58">
        <v>2085439</v>
      </c>
      <c r="H29" s="57" t="s">
        <v>39</v>
      </c>
      <c r="I29" s="65">
        <v>25000</v>
      </c>
      <c r="J29" s="65">
        <v>25000</v>
      </c>
      <c r="K29" s="65">
        <v>98000</v>
      </c>
      <c r="L29" s="32" t="s">
        <v>780</v>
      </c>
      <c r="M29" s="32" t="s">
        <v>1535</v>
      </c>
      <c r="N29" s="66" t="s">
        <v>1650</v>
      </c>
    </row>
    <row r="30" s="1" customFormat="1" ht="40" customHeight="1" spans="1:14">
      <c r="A30" s="61" t="s">
        <v>1570</v>
      </c>
      <c r="B30" s="61">
        <v>28</v>
      </c>
      <c r="C30" s="61" t="str">
        <f>_xlfn.DISPIMG("ID_BF520B8C00DB4018AAF498954CEEB6E7",1)</f>
        <v>=DISPIMG("ID_BF520B8C00DB4018AAF498954CEEB6E7",1)</v>
      </c>
      <c r="D30" s="61" t="s">
        <v>1651</v>
      </c>
      <c r="E30" s="61">
        <v>535240710</v>
      </c>
      <c r="F30" s="61" t="s">
        <v>676</v>
      </c>
      <c r="G30" s="62">
        <v>425089</v>
      </c>
      <c r="H30" s="63">
        <v>432</v>
      </c>
      <c r="I30" s="70">
        <v>20000</v>
      </c>
      <c r="J30" s="70">
        <v>25000</v>
      </c>
      <c r="K30" s="70">
        <v>29900</v>
      </c>
      <c r="L30" s="61" t="s">
        <v>43</v>
      </c>
      <c r="M30" s="61" t="s">
        <v>1535</v>
      </c>
      <c r="N30" s="71" t="s">
        <v>1652</v>
      </c>
    </row>
  </sheetData>
  <autoFilter xmlns:etc="http://www.wps.cn/officeDocument/2017/etCustomData" ref="A2:N30" etc:filterBottomFollowUsedRange="0">
    <extLst/>
  </autoFilter>
  <mergeCells count="1">
    <mergeCell ref="A1:N1"/>
  </mergeCells>
  <hyperlinks>
    <hyperlink ref="N3" r:id="rId2" display="https://live.kuaishou.com/profile/3xi4apqvqnf7g7y" tooltip="https://live.kuaishou.com/profile/3xi4apqvqnf7g7y"/>
    <hyperlink ref="N5" r:id="rId3" display="https://live.kuaishou.com/profile/CbkaXiaoBo" tooltip="https://live.kuaishou.com/profile/CbkaXiaoBo"/>
    <hyperlink ref="N4" r:id="rId4" display="https://live.kuaishou.com/profile/Handsomeht" tooltip="https://live.kuaishou.com/profile/Handsomeht"/>
    <hyperlink ref="N8" r:id="rId5" display="https://live.kuaishou.com/profile/Roududu1998z" tooltip="https://live.kuaishou.com/profile/Roududu1998z"/>
    <hyperlink ref="N7" r:id="rId6" display="https://live.kuaishou.com/profile/yaner957"/>
    <hyperlink ref="N9" r:id="rId7" display="https://live.kuaishou.com/profile/Dahuangh"/>
    <hyperlink ref="N10" r:id="rId8" display="https://live.kuaishou.com/profile/3xbn4pn987uua5q"/>
    <hyperlink ref="N11" r:id="rId9" display="https://live.kuaishou.com/profile/Jinbo9805"/>
    <hyperlink ref="N12" r:id="rId10" display="https://live.kuaishou.com/profile/xiaodudu20181208"/>
    <hyperlink ref="N25" r:id="rId11" display="https://live.kuaishou.com/profile/xxy1129xy"/>
    <hyperlink ref="N14" r:id="rId12" display="https://live.kuaishou.com/profile/wutangnaicha23"/>
    <hyperlink ref="N15" r:id="rId13" display="https://live.kuaishou.com/profile/zhousanshi0818"/>
    <hyperlink ref="N17" r:id="rId14" display="https://live.kuaishou.com/profile/bigefeixi"/>
    <hyperlink ref="N18" r:id="rId15" display="https://live.kuaishou.com/profile/Gao1791896837"/>
    <hyperlink ref="N20" r:id="rId16" display="https://live.kuaishou.com/profile/Xiaxia977"/>
    <hyperlink ref="N21" r:id="rId17" display="https://live.kuaishou.com/profile/yihang112244" tooltip="https://live.kuaishou.com/profile/yihang112244"/>
    <hyperlink ref="N22" r:id="rId18" display="https://live.kuaishou.com/profile/xrr888006"/>
    <hyperlink ref="N23" r:id="rId19" display="https://live.kuaishou.com/profile/3xj78c5x4zubde9"/>
    <hyperlink ref="N6" r:id="rId20" display="https://live.kuaishou.com/profile/3xqsxy7pk7b3rq9"/>
    <hyperlink ref="N26" r:id="rId21" display="https://live.kuaishou.com/profile/A77777774_"/>
    <hyperlink ref="N29" r:id="rId22" display="https://live.kuaishou.com/profile/KK13881688"/>
    <hyperlink ref="N16" r:id="rId23" display="https://live.kuaishou.com/profile/3xjjzysswd2hqqm"/>
    <hyperlink ref="N19" r:id="rId24" display="https://live.kuaishou.com/profile/ygxdwl666"/>
    <hyperlink ref="N28" r:id="rId25" display="https://live.kuaishou.com/profile/Thesmallyear"/>
    <hyperlink ref="N24" r:id="rId26" display="https://v.kuaishou.com/kpTXgm"/>
    <hyperlink ref="N27" r:id="rId27" display="https://v.kuaishou.com/iTF8WX"/>
    <hyperlink ref="N13" r:id="rId28" display="https://live.kuaishou.com/profile/3xt6e7ftwjievc4" tooltip="https://live.kuaishou.com/profile/3xt6e7ftwjievc4"/>
    <hyperlink ref="N30" r:id="rId29" display="https://v.kuaishou.com/KIJDmKoP"/>
  </hyperlink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8"/>
  </sheetPr>
  <dimension ref="A1:M15"/>
  <sheetViews>
    <sheetView workbookViewId="0">
      <pane ySplit="2" topLeftCell="A3" activePane="bottomLeft" state="frozen"/>
      <selection/>
      <selection pane="bottomLeft" activeCell="P9" sqref="P9"/>
    </sheetView>
  </sheetViews>
  <sheetFormatPr defaultColWidth="9.81666666666667" defaultRowHeight="14.25"/>
  <cols>
    <col min="1" max="2" width="9" style="28"/>
    <col min="3" max="3" width="19.4583333333333" style="28" customWidth="1"/>
    <col min="4" max="4" width="15.4416666666667" style="28" customWidth="1"/>
    <col min="5" max="6" width="11.9" style="28" customWidth="1"/>
    <col min="7" max="7" width="34.7583333333333" style="29" customWidth="1"/>
    <col min="8" max="9" width="8.625" style="28" customWidth="1"/>
    <col min="10" max="13" width="13.3583333333333" style="28" customWidth="1"/>
    <col min="14" max="16379" width="9" style="28"/>
    <col min="16380" max="16382" width="9.64166666666667" style="28"/>
    <col min="16383" max="16384" width="9.81666666666667" style="28"/>
  </cols>
  <sheetData>
    <row r="1" s="28" customFormat="1" ht="70" customHeight="1" spans="1:13">
      <c r="A1" s="30" t="s">
        <v>1653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="28" customFormat="1" ht="30" customHeight="1" spans="1:13">
      <c r="A2" s="31" t="s">
        <v>7</v>
      </c>
      <c r="B2" s="31" t="s">
        <v>9</v>
      </c>
      <c r="C2" s="31" t="s">
        <v>1654</v>
      </c>
      <c r="D2" s="31" t="s">
        <v>1655</v>
      </c>
      <c r="E2" s="31" t="s">
        <v>1257</v>
      </c>
      <c r="F2" s="31" t="s">
        <v>1656</v>
      </c>
      <c r="G2" s="31" t="s">
        <v>1519</v>
      </c>
      <c r="H2" s="31" t="s">
        <v>1259</v>
      </c>
      <c r="I2" s="31" t="s">
        <v>1057</v>
      </c>
      <c r="J2" s="31" t="s">
        <v>1657</v>
      </c>
      <c r="K2" s="31" t="s">
        <v>1658</v>
      </c>
      <c r="L2" s="31" t="s">
        <v>1659</v>
      </c>
      <c r="M2" s="31" t="s">
        <v>1660</v>
      </c>
    </row>
    <row r="3" s="28" customFormat="1" ht="40" customHeight="1" spans="1:13">
      <c r="A3" s="32">
        <v>1</v>
      </c>
      <c r="B3" s="33" t="str">
        <f>_xlfn.DISPIMG("ID_5BA8960DA9DB42B0B6587B58B3D08D39",1)</f>
        <v>=DISPIMG("ID_5BA8960DA9DB42B0B6587B58B3D08D39",1)</v>
      </c>
      <c r="C3" s="34" t="s">
        <v>68</v>
      </c>
      <c r="D3" s="35">
        <v>30139938</v>
      </c>
      <c r="E3" s="36">
        <v>1782140</v>
      </c>
      <c r="F3" s="36">
        <v>13923000</v>
      </c>
      <c r="G3" s="34" t="s">
        <v>1661</v>
      </c>
      <c r="H3" s="32" t="s">
        <v>43</v>
      </c>
      <c r="I3" s="48" t="s">
        <v>1662</v>
      </c>
      <c r="J3" s="32">
        <v>1800000</v>
      </c>
      <c r="K3" s="32" t="s">
        <v>1663</v>
      </c>
      <c r="L3" s="32" t="s">
        <v>39</v>
      </c>
      <c r="M3" s="32" t="s">
        <v>39</v>
      </c>
    </row>
    <row r="4" s="28" customFormat="1" ht="40" customHeight="1" spans="1:13">
      <c r="A4" s="37">
        <v>2</v>
      </c>
      <c r="B4" s="38" t="str">
        <f>_xlfn.DISPIMG("ID_F79D9C42E0B9416AB978B02977D16978",1)</f>
        <v>=DISPIMG("ID_F79D9C42E0B9416AB978B02977D16978",1)</v>
      </c>
      <c r="C4" s="39" t="s">
        <v>1664</v>
      </c>
      <c r="D4" s="40">
        <v>686354330</v>
      </c>
      <c r="E4" s="41">
        <v>891177</v>
      </c>
      <c r="F4" s="41">
        <v>4383652</v>
      </c>
      <c r="G4" s="39" t="s">
        <v>1665</v>
      </c>
      <c r="H4" s="37" t="s">
        <v>43</v>
      </c>
      <c r="I4" s="37" t="s">
        <v>59</v>
      </c>
      <c r="J4" s="37">
        <v>25000</v>
      </c>
      <c r="K4" s="37" t="s">
        <v>39</v>
      </c>
      <c r="L4" s="37" t="s">
        <v>39</v>
      </c>
      <c r="M4" s="37" t="s">
        <v>39</v>
      </c>
    </row>
    <row r="5" s="28" customFormat="1" ht="40" customHeight="1" spans="1:13">
      <c r="A5" s="32">
        <v>3</v>
      </c>
      <c r="B5" s="33" t="str">
        <f>_xlfn.DISPIMG("ID_17F8DAE0FB3944338FDD5DD9E57873C1",1)</f>
        <v>=DISPIMG("ID_17F8DAE0FB3944338FDD5DD9E57873C1",1)</v>
      </c>
      <c r="C5" s="34" t="s">
        <v>1666</v>
      </c>
      <c r="D5" s="35">
        <v>1752056466</v>
      </c>
      <c r="E5" s="36">
        <v>532786</v>
      </c>
      <c r="F5" s="36">
        <v>8680114</v>
      </c>
      <c r="G5" s="34" t="s">
        <v>1667</v>
      </c>
      <c r="H5" s="32" t="s">
        <v>43</v>
      </c>
      <c r="I5" s="48" t="s">
        <v>1662</v>
      </c>
      <c r="J5" s="32">
        <v>200000</v>
      </c>
      <c r="K5" s="32">
        <v>40000</v>
      </c>
      <c r="L5" s="32">
        <v>60000</v>
      </c>
      <c r="M5" s="32">
        <v>30000</v>
      </c>
    </row>
    <row r="6" s="28" customFormat="1" ht="40" customHeight="1" spans="1:13">
      <c r="A6" s="37">
        <v>4</v>
      </c>
      <c r="B6" s="38" t="str">
        <f>_xlfn.DISPIMG("ID_6B4C1FCC817C41339EF9AA4A3AAF6C95",1)</f>
        <v>=DISPIMG("ID_6B4C1FCC817C41339EF9AA4A3AAF6C95",1)</v>
      </c>
      <c r="C6" s="39" t="s">
        <v>854</v>
      </c>
      <c r="D6" s="40">
        <v>589088589</v>
      </c>
      <c r="E6" s="41">
        <v>630000</v>
      </c>
      <c r="F6" s="41">
        <v>5354000</v>
      </c>
      <c r="G6" s="39" t="s">
        <v>1668</v>
      </c>
      <c r="H6" s="37" t="s">
        <v>354</v>
      </c>
      <c r="I6" s="49" t="s">
        <v>813</v>
      </c>
      <c r="J6" s="37">
        <v>80000</v>
      </c>
      <c r="K6" s="49" t="s">
        <v>1669</v>
      </c>
      <c r="L6" s="37" t="s">
        <v>39</v>
      </c>
      <c r="M6" s="37" t="s">
        <v>39</v>
      </c>
    </row>
    <row r="7" s="28" customFormat="1" ht="40" customHeight="1" spans="1:13">
      <c r="A7" s="32">
        <v>5</v>
      </c>
      <c r="B7" s="33" t="str">
        <f>_xlfn.DISPIMG("ID_F89057084AD749EC952C4FC456F32EC0",1)</f>
        <v>=DISPIMG("ID_F89057084AD749EC952C4FC456F32EC0",1)</v>
      </c>
      <c r="C7" s="34" t="s">
        <v>1670</v>
      </c>
      <c r="D7" s="35">
        <v>501663225</v>
      </c>
      <c r="E7" s="36">
        <v>173968</v>
      </c>
      <c r="F7" s="36">
        <v>2730855</v>
      </c>
      <c r="G7" s="34" t="s">
        <v>1671</v>
      </c>
      <c r="H7" s="32" t="s">
        <v>43</v>
      </c>
      <c r="I7" s="48" t="s">
        <v>1672</v>
      </c>
      <c r="J7" s="32">
        <v>20000</v>
      </c>
      <c r="K7" s="32">
        <v>10000</v>
      </c>
      <c r="L7" s="32" t="s">
        <v>39</v>
      </c>
      <c r="M7" s="32" t="s">
        <v>39</v>
      </c>
    </row>
    <row r="8" s="28" customFormat="1" ht="40" customHeight="1" spans="1:13">
      <c r="A8" s="37">
        <v>6</v>
      </c>
      <c r="B8" s="38" t="str">
        <f>_xlfn.DISPIMG("ID_F0EE0381F5B1436DAEEE251ADF939B0E",1)</f>
        <v>=DISPIMG("ID_F0EE0381F5B1436DAEEE251ADF939B0E",1)</v>
      </c>
      <c r="C8" s="39" t="s">
        <v>1373</v>
      </c>
      <c r="D8" s="295" t="s">
        <v>1673</v>
      </c>
      <c r="E8" s="41">
        <v>80730</v>
      </c>
      <c r="F8" s="41">
        <v>583717</v>
      </c>
      <c r="G8" s="39" t="s">
        <v>1674</v>
      </c>
      <c r="H8" s="37" t="s">
        <v>43</v>
      </c>
      <c r="I8" s="49" t="s">
        <v>1000</v>
      </c>
      <c r="J8" s="37" t="s">
        <v>39</v>
      </c>
      <c r="K8" s="37" t="s">
        <v>1675</v>
      </c>
      <c r="L8" s="37" t="s">
        <v>39</v>
      </c>
      <c r="M8" s="37" t="s">
        <v>39</v>
      </c>
    </row>
    <row r="9" s="28" customFormat="1" ht="40" customHeight="1" spans="1:13">
      <c r="A9" s="32">
        <v>7</v>
      </c>
      <c r="B9" s="33" t="str">
        <f>_xlfn.DISPIMG("ID_CB3295A1027744EC857B486DC6893A52",1)</f>
        <v>=DISPIMG("ID_CB3295A1027744EC857B486DC6893A52",1)</v>
      </c>
      <c r="C9" s="34" t="s">
        <v>93</v>
      </c>
      <c r="D9" s="35">
        <v>2069267165</v>
      </c>
      <c r="E9" s="36">
        <v>64360</v>
      </c>
      <c r="F9" s="36">
        <v>758067</v>
      </c>
      <c r="G9" s="34" t="s">
        <v>1676</v>
      </c>
      <c r="H9" s="32" t="s">
        <v>43</v>
      </c>
      <c r="I9" s="48" t="s">
        <v>1662</v>
      </c>
      <c r="J9" s="32" t="s">
        <v>39</v>
      </c>
      <c r="K9" s="32" t="s">
        <v>1677</v>
      </c>
      <c r="L9" s="32">
        <v>10000</v>
      </c>
      <c r="M9" s="32">
        <v>6000</v>
      </c>
    </row>
    <row r="10" s="28" customFormat="1" ht="40" customHeight="1" spans="1:13">
      <c r="A10" s="37">
        <v>8</v>
      </c>
      <c r="B10" s="38" t="str">
        <f>_xlfn.DISPIMG("ID_EBCA562BE6304D399B78784BF72C7A46",1)</f>
        <v>=DISPIMG("ID_EBCA562BE6304D399B78784BF72C7A46",1)</v>
      </c>
      <c r="C10" s="39" t="s">
        <v>114</v>
      </c>
      <c r="D10" s="40">
        <v>1171192768</v>
      </c>
      <c r="E10" s="41">
        <v>379556</v>
      </c>
      <c r="F10" s="41">
        <v>6920701</v>
      </c>
      <c r="G10" s="39" t="s">
        <v>1678</v>
      </c>
      <c r="H10" s="37" t="s">
        <v>43</v>
      </c>
      <c r="I10" s="49" t="s">
        <v>1662</v>
      </c>
      <c r="J10" s="37" t="s">
        <v>1679</v>
      </c>
      <c r="K10" s="37" t="s">
        <v>1680</v>
      </c>
      <c r="L10" s="37">
        <v>10000</v>
      </c>
      <c r="M10" s="37">
        <v>6000</v>
      </c>
    </row>
    <row r="11" s="28" customFormat="1" ht="40" customHeight="1" spans="1:13">
      <c r="A11" s="32">
        <v>9</v>
      </c>
      <c r="B11" s="33" t="str">
        <f>_xlfn.DISPIMG("ID_71A68A67E6D94B428053E8A3DDFE409E",1)</f>
        <v>=DISPIMG("ID_71A68A67E6D94B428053E8A3DDFE409E",1)</v>
      </c>
      <c r="C11" s="34" t="s">
        <v>1681</v>
      </c>
      <c r="D11" s="35">
        <v>438538373</v>
      </c>
      <c r="E11" s="36">
        <v>378773</v>
      </c>
      <c r="F11" s="36">
        <v>5234223</v>
      </c>
      <c r="G11" s="34" t="s">
        <v>1682</v>
      </c>
      <c r="H11" s="32" t="s">
        <v>43</v>
      </c>
      <c r="I11" s="48" t="s">
        <v>1597</v>
      </c>
      <c r="J11" s="32">
        <v>40000</v>
      </c>
      <c r="K11" s="32">
        <v>25000</v>
      </c>
      <c r="L11" s="32">
        <v>10000</v>
      </c>
      <c r="M11" s="32" t="s">
        <v>39</v>
      </c>
    </row>
    <row r="12" s="28" customFormat="1" ht="40" customHeight="1" spans="1:13">
      <c r="A12" s="37">
        <v>10</v>
      </c>
      <c r="B12" s="38" t="str">
        <f>_xlfn.DISPIMG("ID_C84293C4FCB849FA9DC9DEC789150165",1)</f>
        <v>=DISPIMG("ID_C84293C4FCB849FA9DC9DEC789150165",1)</v>
      </c>
      <c r="C12" s="39" t="s">
        <v>1683</v>
      </c>
      <c r="D12" s="40">
        <v>1476802359</v>
      </c>
      <c r="E12" s="41">
        <v>18847</v>
      </c>
      <c r="F12" s="41">
        <v>225053</v>
      </c>
      <c r="G12" s="39" t="s">
        <v>1684</v>
      </c>
      <c r="H12" s="37" t="s">
        <v>43</v>
      </c>
      <c r="I12" s="49" t="s">
        <v>1662</v>
      </c>
      <c r="J12" s="37" t="s">
        <v>39</v>
      </c>
      <c r="K12" s="37" t="s">
        <v>1675</v>
      </c>
      <c r="L12" s="37">
        <v>5000</v>
      </c>
      <c r="M12" s="37">
        <v>3000</v>
      </c>
    </row>
    <row r="13" s="28" customFormat="1" ht="40" customHeight="1" spans="1:13">
      <c r="A13" s="32">
        <v>11</v>
      </c>
      <c r="B13" s="33" t="str">
        <f>_xlfn.DISPIMG("ID_1F6FDAF0ED3D431EAB7AA64A38F4BB8F",1)</f>
        <v>=DISPIMG("ID_1F6FDAF0ED3D431EAB7AA64A38F4BB8F",1)</v>
      </c>
      <c r="C13" s="34" t="s">
        <v>239</v>
      </c>
      <c r="D13" s="35">
        <v>1443466116</v>
      </c>
      <c r="E13" s="36">
        <v>23056</v>
      </c>
      <c r="F13" s="36">
        <v>115526</v>
      </c>
      <c r="G13" s="34" t="s">
        <v>1685</v>
      </c>
      <c r="H13" s="32" t="s">
        <v>43</v>
      </c>
      <c r="I13" s="48" t="s">
        <v>284</v>
      </c>
      <c r="J13" s="32">
        <v>30000</v>
      </c>
      <c r="K13" s="32">
        <v>30000</v>
      </c>
      <c r="L13" s="32">
        <v>20000</v>
      </c>
      <c r="M13" s="32">
        <v>15000</v>
      </c>
    </row>
    <row r="14" s="28" customFormat="1" ht="40" customHeight="1" spans="1:13">
      <c r="A14" s="37">
        <v>12</v>
      </c>
      <c r="B14" s="38" t="str">
        <f>_xlfn.DISPIMG("ID_372925DD8CB0467B92525FA61EF5FB7D",1)</f>
        <v>=DISPIMG("ID_372925DD8CB0467B92525FA61EF5FB7D",1)</v>
      </c>
      <c r="C14" s="39" t="s">
        <v>1686</v>
      </c>
      <c r="D14" s="40">
        <v>1972786116</v>
      </c>
      <c r="E14" s="41">
        <v>10614</v>
      </c>
      <c r="F14" s="41">
        <v>92003</v>
      </c>
      <c r="G14" s="39" t="s">
        <v>1687</v>
      </c>
      <c r="H14" s="37" t="s">
        <v>43</v>
      </c>
      <c r="I14" s="49" t="s">
        <v>1662</v>
      </c>
      <c r="J14" s="37" t="s">
        <v>39</v>
      </c>
      <c r="K14" s="37" t="s">
        <v>1688</v>
      </c>
      <c r="L14" s="37">
        <v>5000</v>
      </c>
      <c r="M14" s="37">
        <v>3000</v>
      </c>
    </row>
    <row r="15" s="28" customFormat="1" ht="40" customHeight="1" spans="1:13">
      <c r="A15" s="43">
        <v>13</v>
      </c>
      <c r="B15" s="44" t="str">
        <f>_xlfn.DISPIMG("ID_467966D24D254DAFB9025E4824C38221",1)</f>
        <v>=DISPIMG("ID_467966D24D254DAFB9025E4824C38221",1)</v>
      </c>
      <c r="C15" s="45" t="s">
        <v>1689</v>
      </c>
      <c r="D15" s="46">
        <v>1376579261</v>
      </c>
      <c r="E15" s="47">
        <v>42115</v>
      </c>
      <c r="F15" s="47">
        <v>260000</v>
      </c>
      <c r="G15" s="45" t="s">
        <v>1690</v>
      </c>
      <c r="H15" s="43" t="s">
        <v>43</v>
      </c>
      <c r="I15" s="50" t="s">
        <v>1662</v>
      </c>
      <c r="J15" s="43">
        <v>10000</v>
      </c>
      <c r="K15" s="43" t="s">
        <v>1688</v>
      </c>
      <c r="L15" s="43">
        <v>5000</v>
      </c>
      <c r="M15" s="43">
        <v>3000</v>
      </c>
    </row>
  </sheetData>
  <autoFilter xmlns:etc="http://www.wps.cn/officeDocument/2017/etCustomData" ref="A2:M15" etc:filterBottomFollowUsedRange="0">
    <extLst/>
  </autoFilter>
  <mergeCells count="1">
    <mergeCell ref="A1:M1"/>
  </mergeCells>
  <hyperlinks>
    <hyperlink ref="G3" r:id="rId2" display="https://space.bilibili.com/30139938?spm_id_from=333.337.0.0" tooltip="https://space.bilibili.com/30139938?spm_id_from=333.337.0.0"/>
    <hyperlink ref="G5" r:id="rId3" display="https://space.bilibili.com/1752056466?spm_id_from=333.337.0.0" tooltip="https://space.bilibili.com/1752056466?spm_id_from=333.337.0.0"/>
    <hyperlink ref="G9" r:id="rId4" display="https://space.bilibili.com/2069267165?spm_id_from=333.337.0.0" tooltip="https://space.bilibili.com/2069267165?spm_id_from=333.337.0.0"/>
    <hyperlink ref="G10" r:id="rId5" display="https://space.bilibili.com/1171192768?spm_id_from=333.337.0.0" tooltip="https://space.bilibili.com/1171192768?spm_id_from=333.337.0.0"/>
    <hyperlink ref="G12" r:id="rId6" display="https://space.bilibili.com/1476802359?spm_id_from=333.337.0.0" tooltip="https://space.bilibili.com/1476802359?spm_id_from=333.337.0.0"/>
    <hyperlink ref="G13" r:id="rId7" display="https://space.bilibili.com/1443466116?spm_id_from=333.337.0.0" tooltip="https://space.bilibili.com/1443466116?spm_id_from=333.337.0.0"/>
    <hyperlink ref="G14" r:id="rId8" display="https://space.bilibili.com/1972786116?spm_id_from=333.337.0.0" tooltip="https://space.bilibili.com/1972786116?spm_id_from=333.337.0.0"/>
    <hyperlink ref="G7" r:id="rId9" display="https://space.bilibili.com/501663225?spm_id_from=333.337.0.0" tooltip="https://space.bilibili.com/501663225?spm_id_from=333.337.0.0"/>
    <hyperlink ref="G4" r:id="rId10" display="https://space.bilibili.com/686354330?spm_id_from=333.337.0.0" tooltip="https://space.bilibili.com/686354330?spm_id_from=333.337.0.0"/>
    <hyperlink ref="G11" r:id="rId11" display="https://space.bilibili.com/438538373?spm_id_from=333.337.0.0"/>
    <hyperlink ref="G15" r:id="rId12" display="https://space.bilibili.com/1376579261?spm_id_from=333.337.0.0"/>
    <hyperlink ref="G8" r:id="rId13" display="https://space.bilibili.com/3494370374322460?spm_id_from=333.337.0.0"/>
    <hyperlink ref="G6" r:id="rId14" display="https://b23.tv/5RDMxVH"/>
  </hyperlinks>
  <pageMargins left="0.75" right="0.75" top="1" bottom="1" header="0.5" footer="0.5"/>
  <pageSetup paperSize="9" orientation="portrait"/>
  <headerFooter/>
  <ignoredErrors>
    <ignoredError sqref="D8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5"/>
  </sheetPr>
  <dimension ref="A1:N44"/>
  <sheetViews>
    <sheetView workbookViewId="0">
      <pane xSplit="4" ySplit="2" topLeftCell="F3" activePane="bottomRight" state="frozen"/>
      <selection/>
      <selection pane="topRight"/>
      <selection pane="bottomLeft"/>
      <selection pane="bottomRight" activeCell="N11" sqref="N11"/>
    </sheetView>
  </sheetViews>
  <sheetFormatPr defaultColWidth="9.81666666666667" defaultRowHeight="13.5"/>
  <cols>
    <col min="1" max="1" width="4.625" style="1" customWidth="1"/>
    <col min="2" max="2" width="5.83333333333333" style="1" customWidth="1"/>
    <col min="3" max="3" width="13.625" style="4" customWidth="1"/>
    <col min="4" max="4" width="15.375" style="5" customWidth="1"/>
    <col min="5" max="5" width="9.625" style="1" customWidth="1"/>
    <col min="6" max="6" width="30.625" style="1" customWidth="1"/>
    <col min="7" max="7" width="23.625" style="4" customWidth="1"/>
    <col min="8" max="8" width="6.625" style="4" customWidth="1"/>
    <col min="9" max="9" width="5.75" style="1" customWidth="1"/>
    <col min="10" max="12" width="9.625" style="1" customWidth="1"/>
    <col min="13" max="13" width="38.125" style="1" customWidth="1"/>
    <col min="14" max="14" width="7.375" style="1" customWidth="1"/>
    <col min="15" max="15" width="10.625" style="1" customWidth="1"/>
    <col min="16" max="16" width="33.025" style="1" customWidth="1"/>
    <col min="17" max="19" width="10.625" style="1" customWidth="1"/>
    <col min="20" max="20" width="18.375" style="1" customWidth="1"/>
    <col min="21" max="21" width="27.1416666666667" style="1" customWidth="1"/>
    <col min="22" max="22" width="8" style="1" customWidth="1"/>
    <col min="23" max="23" width="10.375" style="6"/>
    <col min="24" max="24" width="12.625" style="1"/>
    <col min="25" max="16383" width="9.64166666666667" style="1"/>
    <col min="16384" max="16384" width="9.81666666666667" style="1"/>
  </cols>
  <sheetData>
    <row r="1" s="1" customFormat="1" ht="70" customHeight="1" spans="1:14">
      <c r="A1" s="7" t="s">
        <v>6</v>
      </c>
      <c r="B1" s="7"/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</row>
    <row r="2" s="2" customFormat="1" ht="30" customHeight="1" spans="1:14">
      <c r="A2" s="9" t="s">
        <v>7</v>
      </c>
      <c r="B2" s="9" t="s">
        <v>9</v>
      </c>
      <c r="C2" s="9" t="s">
        <v>10</v>
      </c>
      <c r="D2" s="9" t="s">
        <v>12</v>
      </c>
      <c r="E2" s="9" t="s">
        <v>1059</v>
      </c>
      <c r="F2" s="9" t="s">
        <v>14</v>
      </c>
      <c r="G2" s="10" t="s">
        <v>1691</v>
      </c>
      <c r="H2" s="11" t="s">
        <v>1060</v>
      </c>
      <c r="I2" s="11" t="s">
        <v>18</v>
      </c>
      <c r="J2" s="21" t="s">
        <v>20</v>
      </c>
      <c r="K2" s="21" t="s">
        <v>21</v>
      </c>
      <c r="L2" s="21" t="s">
        <v>22</v>
      </c>
      <c r="M2" s="9" t="s">
        <v>1061</v>
      </c>
      <c r="N2" s="9" t="s">
        <v>30</v>
      </c>
    </row>
    <row r="3" customFormat="1" ht="35" customHeight="1" spans="1:14">
      <c r="A3" s="12">
        <v>1</v>
      </c>
      <c r="B3" s="13" t="str">
        <f>_xlfn.DISPIMG("ID_69E202A6E64443E18D891E2F38072FBA",1)</f>
        <v>=DISPIMG("ID_69E202A6E64443E18D891E2F38072FBA",1)</v>
      </c>
      <c r="C3" s="14" t="s">
        <v>1692</v>
      </c>
      <c r="D3" s="15">
        <v>97203305600</v>
      </c>
      <c r="E3" s="14" t="s">
        <v>857</v>
      </c>
      <c r="F3" s="14" t="s">
        <v>1693</v>
      </c>
      <c r="G3" s="12" t="s">
        <v>1694</v>
      </c>
      <c r="H3" s="16">
        <v>13.1</v>
      </c>
      <c r="I3" s="22" t="s">
        <v>39</v>
      </c>
      <c r="J3" s="23">
        <v>8000</v>
      </c>
      <c r="K3" s="23">
        <v>10000</v>
      </c>
      <c r="L3" s="23">
        <v>12000</v>
      </c>
      <c r="M3" s="12" t="s">
        <v>1695</v>
      </c>
      <c r="N3" s="14" t="s">
        <v>43</v>
      </c>
    </row>
    <row r="4" customFormat="1" ht="35" customHeight="1" spans="1:14">
      <c r="A4" s="12">
        <v>2</v>
      </c>
      <c r="B4" s="17" t="str">
        <f>_xlfn.DISPIMG("ID_C49163FCBB244525971274056E26C429",1)</f>
        <v>=DISPIMG("ID_C49163FCBB244525971274056E26C429",1)</v>
      </c>
      <c r="C4" s="14" t="s">
        <v>1414</v>
      </c>
      <c r="D4" s="18" t="s">
        <v>1696</v>
      </c>
      <c r="E4" s="14" t="s">
        <v>1697</v>
      </c>
      <c r="F4" s="14" t="s">
        <v>1698</v>
      </c>
      <c r="G4" s="12" t="s">
        <v>1699</v>
      </c>
      <c r="H4" s="16">
        <v>627.5</v>
      </c>
      <c r="I4" s="22">
        <v>506</v>
      </c>
      <c r="J4" s="23">
        <v>55000</v>
      </c>
      <c r="K4" s="23">
        <v>78000</v>
      </c>
      <c r="L4" s="23">
        <v>98000</v>
      </c>
      <c r="M4" s="12" t="s">
        <v>1700</v>
      </c>
      <c r="N4" s="14" t="s">
        <v>43</v>
      </c>
    </row>
    <row r="5" customFormat="1" ht="35" customHeight="1" spans="1:14">
      <c r="A5" s="12">
        <v>3</v>
      </c>
      <c r="B5" s="17" t="str">
        <f>_xlfn.DISPIMG("ID_C1BB363F239B4EDF8767AF2D5077F79F",1)</f>
        <v>=DISPIMG("ID_C1BB363F239B4EDF8767AF2D5077F79F",1)</v>
      </c>
      <c r="C5" s="14" t="s">
        <v>1701</v>
      </c>
      <c r="D5" s="15" t="s">
        <v>1702</v>
      </c>
      <c r="E5" s="14" t="s">
        <v>1703</v>
      </c>
      <c r="F5" s="14" t="s">
        <v>1704</v>
      </c>
      <c r="G5" s="12" t="s">
        <v>1705</v>
      </c>
      <c r="H5" s="16">
        <v>61.1</v>
      </c>
      <c r="I5" s="22">
        <v>114.3</v>
      </c>
      <c r="J5" s="23">
        <v>20000</v>
      </c>
      <c r="K5" s="23">
        <v>20000</v>
      </c>
      <c r="L5" s="23">
        <v>35000</v>
      </c>
      <c r="M5" s="12" t="s">
        <v>1706</v>
      </c>
      <c r="N5" s="12" t="s">
        <v>43</v>
      </c>
    </row>
    <row r="6" customFormat="1" ht="35" customHeight="1" spans="1:14">
      <c r="A6" s="14">
        <v>4</v>
      </c>
      <c r="B6" s="17" t="str">
        <f>_xlfn.DISPIMG("ID_8E572C28C332409CBC778FAC9CC485EE",1)</f>
        <v>=DISPIMG("ID_8E572C28C332409CBC778FAC9CC485EE",1)</v>
      </c>
      <c r="C6" s="14" t="s">
        <v>1707</v>
      </c>
      <c r="D6" s="15" t="s">
        <v>1708</v>
      </c>
      <c r="E6" s="14" t="s">
        <v>1703</v>
      </c>
      <c r="F6" s="14" t="s">
        <v>1709</v>
      </c>
      <c r="G6" s="12" t="s">
        <v>1710</v>
      </c>
      <c r="H6" s="16">
        <v>155.1</v>
      </c>
      <c r="I6" s="22">
        <v>414</v>
      </c>
      <c r="J6" s="24">
        <v>38000</v>
      </c>
      <c r="K6" s="24">
        <v>38000</v>
      </c>
      <c r="L6" s="24">
        <v>48000</v>
      </c>
      <c r="M6" s="12" t="s">
        <v>1711</v>
      </c>
      <c r="N6" s="14" t="s">
        <v>43</v>
      </c>
    </row>
    <row r="7" customFormat="1" ht="35" customHeight="1" spans="1:14">
      <c r="A7" s="14">
        <v>5</v>
      </c>
      <c r="B7" s="17" t="str">
        <f>_xlfn.DISPIMG("ID_51CC1604D87B4A769D49B1E9D059D9BE",1)</f>
        <v>=DISPIMG("ID_51CC1604D87B4A769D49B1E9D059D9BE",1)</v>
      </c>
      <c r="C7" s="14" t="s">
        <v>1712</v>
      </c>
      <c r="D7" s="15" t="s">
        <v>1713</v>
      </c>
      <c r="E7" s="14" t="s">
        <v>1000</v>
      </c>
      <c r="F7" s="14" t="s">
        <v>1714</v>
      </c>
      <c r="G7" s="12" t="s">
        <v>1715</v>
      </c>
      <c r="H7" s="16">
        <v>1135.7</v>
      </c>
      <c r="I7" s="22">
        <v>188.4</v>
      </c>
      <c r="J7" s="25">
        <v>105000</v>
      </c>
      <c r="K7" s="25">
        <v>120000</v>
      </c>
      <c r="L7" s="25">
        <v>150000</v>
      </c>
      <c r="M7" s="12" t="s">
        <v>1716</v>
      </c>
      <c r="N7" s="14" t="s">
        <v>1717</v>
      </c>
    </row>
    <row r="8" customFormat="1" ht="35" customHeight="1" spans="1:14">
      <c r="A8" s="12">
        <v>6</v>
      </c>
      <c r="B8" s="17" t="str">
        <f>_xlfn.DISPIMG("ID_A3EB5B898982411D993D9EF9E4696D0A",1)</f>
        <v>=DISPIMG("ID_A3EB5B898982411D993D9EF9E4696D0A",1)</v>
      </c>
      <c r="C8" s="14" t="s">
        <v>1718</v>
      </c>
      <c r="D8" s="15" t="s">
        <v>1719</v>
      </c>
      <c r="E8" s="14" t="s">
        <v>1000</v>
      </c>
      <c r="F8" s="14" t="s">
        <v>1720</v>
      </c>
      <c r="G8" s="12" t="s">
        <v>1721</v>
      </c>
      <c r="H8" s="16">
        <v>168.3</v>
      </c>
      <c r="I8" s="22">
        <v>262</v>
      </c>
      <c r="J8" s="23">
        <v>25000</v>
      </c>
      <c r="K8" s="23">
        <v>28000</v>
      </c>
      <c r="L8" s="23">
        <v>35000</v>
      </c>
      <c r="M8" s="12" t="s">
        <v>1722</v>
      </c>
      <c r="N8" s="14" t="s">
        <v>43</v>
      </c>
    </row>
    <row r="9" customFormat="1" ht="35" customHeight="1" spans="1:14">
      <c r="A9" s="14">
        <v>7</v>
      </c>
      <c r="B9" s="17" t="str">
        <f>_xlfn.DISPIMG("ID_8E9BF73DA88F4B7EBC2ABDBDAE39B859",1)</f>
        <v>=DISPIMG("ID_8E9BF73DA88F4B7EBC2ABDBDAE39B859",1)</v>
      </c>
      <c r="C9" s="14" t="s">
        <v>1723</v>
      </c>
      <c r="D9" s="18" t="s">
        <v>1724</v>
      </c>
      <c r="E9" s="14" t="s">
        <v>1000</v>
      </c>
      <c r="F9" s="14" t="s">
        <v>1725</v>
      </c>
      <c r="G9" s="12" t="s">
        <v>1726</v>
      </c>
      <c r="H9" s="16">
        <v>99.7</v>
      </c>
      <c r="I9" s="22">
        <v>42</v>
      </c>
      <c r="J9" s="24">
        <v>8000</v>
      </c>
      <c r="K9" s="24">
        <v>10000</v>
      </c>
      <c r="L9" s="24">
        <v>13000</v>
      </c>
      <c r="M9" s="12" t="s">
        <v>1727</v>
      </c>
      <c r="N9" s="14" t="s">
        <v>43</v>
      </c>
    </row>
    <row r="10" customFormat="1" ht="35" customHeight="1" spans="1:14">
      <c r="A10" s="12">
        <v>8</v>
      </c>
      <c r="B10" s="17" t="str">
        <f>_xlfn.DISPIMG("ID_8C49C15C7A3B46A6B04F3DD25BA47C6D",1)</f>
        <v>=DISPIMG("ID_8C49C15C7A3B46A6B04F3DD25BA47C6D",1)</v>
      </c>
      <c r="C10" s="14" t="s">
        <v>1566</v>
      </c>
      <c r="D10" s="15">
        <v>66548904980</v>
      </c>
      <c r="E10" s="14" t="s">
        <v>272</v>
      </c>
      <c r="F10" s="14" t="s">
        <v>1728</v>
      </c>
      <c r="G10" s="12" t="s">
        <v>1729</v>
      </c>
      <c r="H10" s="16">
        <v>41</v>
      </c>
      <c r="I10" s="22" t="s">
        <v>39</v>
      </c>
      <c r="J10" s="23">
        <v>13000</v>
      </c>
      <c r="K10" s="23">
        <v>17000</v>
      </c>
      <c r="L10" s="23">
        <v>22000</v>
      </c>
      <c r="M10" s="12" t="s">
        <v>39</v>
      </c>
      <c r="N10" s="14" t="s">
        <v>832</v>
      </c>
    </row>
    <row r="11" customFormat="1" ht="35" customHeight="1" spans="1:14">
      <c r="A11" s="12">
        <v>9</v>
      </c>
      <c r="B11" s="17" t="str">
        <f>_xlfn.DISPIMG("ID_239842D3F75A4FE68730B55C4EC3A2AF",1)</f>
        <v>=DISPIMG("ID_239842D3F75A4FE68730B55C4EC3A2AF",1)</v>
      </c>
      <c r="C11" s="14" t="s">
        <v>1730</v>
      </c>
      <c r="D11" s="15" t="s">
        <v>1731</v>
      </c>
      <c r="E11" s="16" t="s">
        <v>284</v>
      </c>
      <c r="F11" s="14" t="s">
        <v>1732</v>
      </c>
      <c r="G11" s="12" t="s">
        <v>1733</v>
      </c>
      <c r="H11" s="16">
        <v>35.3</v>
      </c>
      <c r="I11" s="22">
        <v>555.3</v>
      </c>
      <c r="J11" s="23">
        <v>15000</v>
      </c>
      <c r="K11" s="23">
        <v>15000</v>
      </c>
      <c r="L11" s="23">
        <v>32000</v>
      </c>
      <c r="M11" s="12" t="s">
        <v>1734</v>
      </c>
      <c r="N11" s="14" t="s">
        <v>43</v>
      </c>
    </row>
    <row r="12" customFormat="1" ht="35" customHeight="1" spans="1:14">
      <c r="A12" s="12">
        <v>10</v>
      </c>
      <c r="B12" s="17" t="str">
        <f>_xlfn.DISPIMG("ID_65D6B7887BF64FD2867A03CFBC78038B",1)</f>
        <v>=DISPIMG("ID_65D6B7887BF64FD2867A03CFBC78038B",1)</v>
      </c>
      <c r="C12" s="14" t="s">
        <v>1735</v>
      </c>
      <c r="D12" s="15" t="s">
        <v>1736</v>
      </c>
      <c r="E12" s="14" t="s">
        <v>1737</v>
      </c>
      <c r="F12" s="14" t="s">
        <v>1738</v>
      </c>
      <c r="G12" s="12" t="s">
        <v>1739</v>
      </c>
      <c r="H12" s="16">
        <v>34.4</v>
      </c>
      <c r="I12" s="22">
        <v>205.3</v>
      </c>
      <c r="J12" s="23">
        <v>14000</v>
      </c>
      <c r="K12" s="23">
        <v>20000</v>
      </c>
      <c r="L12" s="23">
        <v>25000</v>
      </c>
      <c r="M12" s="12" t="s">
        <v>1740</v>
      </c>
      <c r="N12" s="14" t="s">
        <v>354</v>
      </c>
    </row>
    <row r="13" customFormat="1" ht="35" customHeight="1" spans="1:14">
      <c r="A13" s="12">
        <v>11</v>
      </c>
      <c r="B13" s="17" t="str">
        <f>_xlfn.DISPIMG("ID_436F9FD2D8A149029DBCE5612E7FCC13",1)</f>
        <v>=DISPIMG("ID_436F9FD2D8A149029DBCE5612E7FCC13",1)</v>
      </c>
      <c r="C13" s="14" t="s">
        <v>1741</v>
      </c>
      <c r="D13" s="18" t="s">
        <v>1742</v>
      </c>
      <c r="E13" s="12" t="s">
        <v>1743</v>
      </c>
      <c r="F13" s="14" t="s">
        <v>1744</v>
      </c>
      <c r="G13" s="12" t="s">
        <v>1745</v>
      </c>
      <c r="H13" s="16">
        <v>11.3</v>
      </c>
      <c r="I13" s="22">
        <v>155.1</v>
      </c>
      <c r="J13" s="26">
        <v>5500</v>
      </c>
      <c r="K13" s="26">
        <v>6500</v>
      </c>
      <c r="L13" s="26">
        <v>7500</v>
      </c>
      <c r="M13" s="12" t="s">
        <v>1746</v>
      </c>
      <c r="N13" s="12" t="s">
        <v>354</v>
      </c>
    </row>
    <row r="14" customFormat="1" ht="35" customHeight="1" spans="1:14">
      <c r="A14" s="12">
        <v>12</v>
      </c>
      <c r="B14" s="17" t="str">
        <f>_xlfn.DISPIMG("ID_9391F2E58C70485E9F991E86C9689E40",1)</f>
        <v>=DISPIMG("ID_9391F2E58C70485E9F991E86C9689E40",1)</v>
      </c>
      <c r="C14" s="14" t="s">
        <v>1747</v>
      </c>
      <c r="D14" s="15" t="s">
        <v>1748</v>
      </c>
      <c r="E14" s="14" t="s">
        <v>1737</v>
      </c>
      <c r="F14" s="14" t="s">
        <v>1749</v>
      </c>
      <c r="G14" s="12" t="s">
        <v>1750</v>
      </c>
      <c r="H14" s="16">
        <v>7.1</v>
      </c>
      <c r="I14" s="22">
        <v>271.3</v>
      </c>
      <c r="J14" s="24">
        <v>1700</v>
      </c>
      <c r="K14" s="24">
        <v>2200</v>
      </c>
      <c r="L14" s="24">
        <v>2800</v>
      </c>
      <c r="M14" s="12" t="s">
        <v>1751</v>
      </c>
      <c r="N14" s="12" t="s">
        <v>1752</v>
      </c>
    </row>
    <row r="15" customFormat="1" ht="35" customHeight="1" spans="1:14">
      <c r="A15" s="14">
        <v>13</v>
      </c>
      <c r="B15" s="17" t="str">
        <f>_xlfn.DISPIMG("ID_61797551686346DC9014A66E142A21ED",1)</f>
        <v>=DISPIMG("ID_61797551686346DC9014A66E142A21ED",1)</v>
      </c>
      <c r="C15" s="14" t="s">
        <v>1753</v>
      </c>
      <c r="D15" s="15">
        <v>24900362122</v>
      </c>
      <c r="E15" s="14" t="s">
        <v>1754</v>
      </c>
      <c r="F15" s="14" t="s">
        <v>1755</v>
      </c>
      <c r="G15" s="12" t="s">
        <v>1756</v>
      </c>
      <c r="H15" s="16">
        <v>57.8</v>
      </c>
      <c r="I15" s="22">
        <v>270.6</v>
      </c>
      <c r="J15" s="24">
        <v>8200</v>
      </c>
      <c r="K15" s="24">
        <v>11000</v>
      </c>
      <c r="L15" s="24">
        <v>15000</v>
      </c>
      <c r="M15" s="12" t="s">
        <v>1757</v>
      </c>
      <c r="N15" s="14" t="s">
        <v>505</v>
      </c>
    </row>
    <row r="16" customFormat="1" ht="35" customHeight="1" spans="1:14">
      <c r="A16" s="12">
        <v>14</v>
      </c>
      <c r="B16" s="17" t="str">
        <f>_xlfn.DISPIMG("ID_0F56D0A8EA4C4786AD6FCABB58AB23E6",1)</f>
        <v>=DISPIMG("ID_0F56D0A8EA4C4786AD6FCABB58AB23E6",1)</v>
      </c>
      <c r="C16" s="14" t="s">
        <v>1758</v>
      </c>
      <c r="D16" s="15" t="s">
        <v>1759</v>
      </c>
      <c r="E16" s="19" t="s">
        <v>697</v>
      </c>
      <c r="F16" s="14" t="s">
        <v>1760</v>
      </c>
      <c r="G16" s="12" t="s">
        <v>1761</v>
      </c>
      <c r="H16" s="16">
        <v>699.6</v>
      </c>
      <c r="I16" s="22">
        <v>80.9</v>
      </c>
      <c r="J16" s="26">
        <v>70000</v>
      </c>
      <c r="K16" s="26">
        <v>90000</v>
      </c>
      <c r="L16" s="26">
        <v>95000</v>
      </c>
      <c r="M16" s="12" t="s">
        <v>1762</v>
      </c>
      <c r="N16" s="14" t="s">
        <v>43</v>
      </c>
    </row>
    <row r="17" customFormat="1" ht="35" customHeight="1" spans="1:14">
      <c r="A17" s="12">
        <v>15</v>
      </c>
      <c r="B17" s="17" t="str">
        <f>_xlfn.DISPIMG("ID_6E7FC8A6D55840A8BE94BF7952044230",1)</f>
        <v>=DISPIMG("ID_6E7FC8A6D55840A8BE94BF7952044230",1)</v>
      </c>
      <c r="C17" s="14" t="s">
        <v>1763</v>
      </c>
      <c r="D17" s="15" t="s">
        <v>1764</v>
      </c>
      <c r="E17" s="19" t="s">
        <v>1765</v>
      </c>
      <c r="F17" s="14" t="s">
        <v>1766</v>
      </c>
      <c r="G17" s="12" t="s">
        <v>1767</v>
      </c>
      <c r="H17" s="16">
        <v>459.7</v>
      </c>
      <c r="I17" s="22">
        <v>132.7</v>
      </c>
      <c r="J17" s="23">
        <v>46000</v>
      </c>
      <c r="K17" s="23">
        <v>49000</v>
      </c>
      <c r="L17" s="23">
        <v>55000</v>
      </c>
      <c r="M17" s="12" t="s">
        <v>1768</v>
      </c>
      <c r="N17" s="14" t="s">
        <v>1769</v>
      </c>
    </row>
    <row r="18" customFormat="1" ht="35" customHeight="1" spans="1:14">
      <c r="A18" s="12">
        <v>16</v>
      </c>
      <c r="B18" s="17" t="str">
        <f>_xlfn.DISPIMG("ID_2031D1DA6A704E79BB7A156D3A8FFDD8",1)</f>
        <v>=DISPIMG("ID_2031D1DA6A704E79BB7A156D3A8FFDD8",1)</v>
      </c>
      <c r="C18" s="14" t="s">
        <v>1442</v>
      </c>
      <c r="D18" s="15" t="s">
        <v>1770</v>
      </c>
      <c r="E18" s="19" t="s">
        <v>1771</v>
      </c>
      <c r="F18" s="14" t="s">
        <v>1772</v>
      </c>
      <c r="G18" s="12" t="s">
        <v>1773</v>
      </c>
      <c r="H18" s="16">
        <v>384.4</v>
      </c>
      <c r="I18" s="22">
        <v>188.3</v>
      </c>
      <c r="J18" s="23">
        <v>48000</v>
      </c>
      <c r="K18" s="23">
        <v>48000</v>
      </c>
      <c r="L18" s="23">
        <v>68000</v>
      </c>
      <c r="M18" s="12" t="s">
        <v>1774</v>
      </c>
      <c r="N18" s="14" t="s">
        <v>43</v>
      </c>
    </row>
    <row r="19" customFormat="1" ht="35" customHeight="1" spans="1:14">
      <c r="A19" s="12">
        <v>17</v>
      </c>
      <c r="B19" s="17" t="str">
        <f>_xlfn.DISPIMG("ID_58F2FCD39BC540128C7BEAE2A0928024",1)</f>
        <v>=DISPIMG("ID_58F2FCD39BC540128C7BEAE2A0928024",1)</v>
      </c>
      <c r="C19" s="14" t="s">
        <v>1775</v>
      </c>
      <c r="D19" s="15" t="s">
        <v>1776</v>
      </c>
      <c r="E19" s="14" t="s">
        <v>59</v>
      </c>
      <c r="F19" s="14" t="s">
        <v>1777</v>
      </c>
      <c r="G19" s="12" t="s">
        <v>1778</v>
      </c>
      <c r="H19" s="16">
        <v>190.2</v>
      </c>
      <c r="I19" s="22">
        <v>166.3</v>
      </c>
      <c r="J19" s="23">
        <v>28000</v>
      </c>
      <c r="K19" s="23">
        <v>31000</v>
      </c>
      <c r="L19" s="23">
        <v>40000</v>
      </c>
      <c r="M19" s="12" t="s">
        <v>1779</v>
      </c>
      <c r="N19" s="14" t="s">
        <v>43</v>
      </c>
    </row>
    <row r="20" customFormat="1" ht="35" customHeight="1" spans="1:14">
      <c r="A20" s="12">
        <v>18</v>
      </c>
      <c r="B20" s="17" t="str">
        <f>_xlfn.DISPIMG("ID_5FDE35B0268C46BCB70D6DA4A875921A",1)</f>
        <v>=DISPIMG("ID_5FDE35B0268C46BCB70D6DA4A875921A",1)</v>
      </c>
      <c r="C20" s="14" t="s">
        <v>1780</v>
      </c>
      <c r="D20" s="15" t="s">
        <v>1781</v>
      </c>
      <c r="E20" s="14" t="s">
        <v>59</v>
      </c>
      <c r="F20" s="14" t="s">
        <v>1782</v>
      </c>
      <c r="G20" s="12" t="s">
        <v>1783</v>
      </c>
      <c r="H20" s="16">
        <v>132.4</v>
      </c>
      <c r="I20" s="22">
        <v>59.5</v>
      </c>
      <c r="J20" s="23">
        <v>20000</v>
      </c>
      <c r="K20" s="23">
        <v>30000</v>
      </c>
      <c r="L20" s="23">
        <v>30000</v>
      </c>
      <c r="M20" s="12" t="s">
        <v>39</v>
      </c>
      <c r="N20" s="14" t="s">
        <v>43</v>
      </c>
    </row>
    <row r="21" customFormat="1" ht="35" customHeight="1" spans="1:14">
      <c r="A21" s="12">
        <v>19</v>
      </c>
      <c r="B21" s="17" t="str">
        <f>_xlfn.DISPIMG("ID_9DF673C24FA04328882B9A91E00184F0",1)</f>
        <v>=DISPIMG("ID_9DF673C24FA04328882B9A91E00184F0",1)</v>
      </c>
      <c r="C21" s="14" t="s">
        <v>1784</v>
      </c>
      <c r="D21" s="15" t="s">
        <v>1785</v>
      </c>
      <c r="E21" s="14" t="s">
        <v>1786</v>
      </c>
      <c r="F21" s="14" t="s">
        <v>1787</v>
      </c>
      <c r="G21" s="12" t="s">
        <v>1788</v>
      </c>
      <c r="H21" s="16">
        <v>113</v>
      </c>
      <c r="I21" s="22">
        <v>698.7</v>
      </c>
      <c r="J21" s="23" t="s">
        <v>39</v>
      </c>
      <c r="K21" s="23">
        <v>155000</v>
      </c>
      <c r="L21" s="23">
        <v>155000</v>
      </c>
      <c r="M21" s="12" t="s">
        <v>1789</v>
      </c>
      <c r="N21" s="14" t="s">
        <v>832</v>
      </c>
    </row>
    <row r="22" customFormat="1" ht="35" customHeight="1" spans="1:14">
      <c r="A22" s="12">
        <v>20</v>
      </c>
      <c r="B22" s="17" t="str">
        <f>_xlfn.DISPIMG("ID_67690179DE0B42EAAD4DB5DA4B5A0F4F",1)</f>
        <v>=DISPIMG("ID_67690179DE0B42EAAD4DB5DA4B5A0F4F",1)</v>
      </c>
      <c r="C22" s="14" t="s">
        <v>1790</v>
      </c>
      <c r="D22" s="18" t="s">
        <v>1791</v>
      </c>
      <c r="E22" s="14" t="s">
        <v>59</v>
      </c>
      <c r="F22" s="14" t="s">
        <v>1792</v>
      </c>
      <c r="G22" s="12" t="s">
        <v>1793</v>
      </c>
      <c r="H22" s="16">
        <v>90.8</v>
      </c>
      <c r="I22" s="22">
        <v>314.5</v>
      </c>
      <c r="J22" s="23">
        <v>25000</v>
      </c>
      <c r="K22" s="23">
        <v>35000</v>
      </c>
      <c r="L22" s="23">
        <v>45000</v>
      </c>
      <c r="M22" s="12" t="s">
        <v>1794</v>
      </c>
      <c r="N22" s="14" t="s">
        <v>43</v>
      </c>
    </row>
    <row r="23" customFormat="1" ht="35" customHeight="1" spans="1:14">
      <c r="A23" s="12">
        <v>21</v>
      </c>
      <c r="B23" s="17" t="str">
        <f>_xlfn.DISPIMG("ID_C4A587C23CEA48BA897366784B7CFAA3",1)</f>
        <v>=DISPIMG("ID_C4A587C23CEA48BA897366784B7CFAA3",1)</v>
      </c>
      <c r="C23" s="14" t="s">
        <v>1795</v>
      </c>
      <c r="D23" s="15" t="s">
        <v>1796</v>
      </c>
      <c r="E23" s="14" t="s">
        <v>1765</v>
      </c>
      <c r="F23" s="14" t="s">
        <v>1797</v>
      </c>
      <c r="G23" s="12" t="s">
        <v>1798</v>
      </c>
      <c r="H23" s="16">
        <v>64.5</v>
      </c>
      <c r="I23" s="22" t="s">
        <v>39</v>
      </c>
      <c r="J23" s="23">
        <v>32000</v>
      </c>
      <c r="K23" s="23">
        <v>32000</v>
      </c>
      <c r="L23" s="23">
        <v>35000</v>
      </c>
      <c r="M23" s="12" t="s">
        <v>1799</v>
      </c>
      <c r="N23" s="14" t="s">
        <v>1800</v>
      </c>
    </row>
    <row r="24" s="1" customFormat="1" ht="35" customHeight="1" spans="1:14">
      <c r="A24" s="12">
        <v>22</v>
      </c>
      <c r="B24" s="17" t="str">
        <f>_xlfn.DISPIMG("ID_811F6202021D4B43A8DEB03B8172AF1D",1)</f>
        <v>=DISPIMG("ID_811F6202021D4B43A8DEB03B8172AF1D",1)</v>
      </c>
      <c r="C24" s="18" t="s">
        <v>1801</v>
      </c>
      <c r="D24" s="15" t="s">
        <v>1802</v>
      </c>
      <c r="E24" s="14" t="s">
        <v>1803</v>
      </c>
      <c r="F24" s="14" t="s">
        <v>1804</v>
      </c>
      <c r="G24" s="12" t="s">
        <v>1805</v>
      </c>
      <c r="H24" s="16">
        <v>18.8</v>
      </c>
      <c r="I24" s="22">
        <v>760.2</v>
      </c>
      <c r="J24" s="23">
        <v>5000</v>
      </c>
      <c r="K24" s="23">
        <v>5000</v>
      </c>
      <c r="L24" s="23">
        <v>5700</v>
      </c>
      <c r="M24" s="23" t="s">
        <v>39</v>
      </c>
      <c r="N24" s="14" t="s">
        <v>43</v>
      </c>
    </row>
    <row r="25" customFormat="1" ht="35" customHeight="1" spans="1:14">
      <c r="A25" s="12">
        <v>23</v>
      </c>
      <c r="B25" s="17" t="str">
        <f>_xlfn.DISPIMG("ID_E2FBD1CA953A4C55A41E01F2D867D589",1)</f>
        <v>=DISPIMG("ID_E2FBD1CA953A4C55A41E01F2D867D589",1)</v>
      </c>
      <c r="C25" s="14" t="s">
        <v>1806</v>
      </c>
      <c r="D25" s="18" t="s">
        <v>1807</v>
      </c>
      <c r="E25" s="12" t="s">
        <v>964</v>
      </c>
      <c r="F25" s="14" t="s">
        <v>1808</v>
      </c>
      <c r="G25" s="12" t="s">
        <v>1809</v>
      </c>
      <c r="H25" s="16">
        <v>6.6</v>
      </c>
      <c r="I25" s="22" t="s">
        <v>39</v>
      </c>
      <c r="J25" s="26">
        <v>5900</v>
      </c>
      <c r="K25" s="26">
        <v>6600</v>
      </c>
      <c r="L25" s="26">
        <v>8800</v>
      </c>
      <c r="M25" s="12" t="s">
        <v>1810</v>
      </c>
      <c r="N25" s="12" t="s">
        <v>43</v>
      </c>
    </row>
    <row r="26" customFormat="1" ht="35" customHeight="1" spans="1:14">
      <c r="A26" s="12">
        <v>24</v>
      </c>
      <c r="B26" s="17" t="str">
        <f>_xlfn.DISPIMG("ID_996902304CC646A3B6EBBBFF8B73BD30",1)</f>
        <v>=DISPIMG("ID_996902304CC646A3B6EBBBFF8B73BD30",1)</v>
      </c>
      <c r="C26" s="14" t="s">
        <v>1811</v>
      </c>
      <c r="D26" s="15" t="s">
        <v>1812</v>
      </c>
      <c r="E26" s="14" t="s">
        <v>448</v>
      </c>
      <c r="F26" s="14" t="s">
        <v>1813</v>
      </c>
      <c r="G26" s="12" t="s">
        <v>1814</v>
      </c>
      <c r="H26" s="16">
        <v>732.6</v>
      </c>
      <c r="I26" s="22">
        <v>26.1</v>
      </c>
      <c r="J26" s="23">
        <v>78000</v>
      </c>
      <c r="K26" s="23">
        <v>105000</v>
      </c>
      <c r="L26" s="23">
        <v>110000</v>
      </c>
      <c r="M26" s="12" t="s">
        <v>1815</v>
      </c>
      <c r="N26" s="14" t="s">
        <v>43</v>
      </c>
    </row>
    <row r="27" customFormat="1" ht="35" customHeight="1" spans="1:14">
      <c r="A27" s="12">
        <v>25</v>
      </c>
      <c r="B27" s="17" t="str">
        <f>_xlfn.DISPIMG("ID_9C9A0000A3A344BA99368A2B3BC10434",1)</f>
        <v>=DISPIMG("ID_9C9A0000A3A344BA99368A2B3BC10434",1)</v>
      </c>
      <c r="C27" s="14" t="s">
        <v>1816</v>
      </c>
      <c r="D27" s="15" t="s">
        <v>1817</v>
      </c>
      <c r="E27" s="14" t="s">
        <v>448</v>
      </c>
      <c r="F27" s="14" t="s">
        <v>1818</v>
      </c>
      <c r="G27" s="12" t="s">
        <v>1819</v>
      </c>
      <c r="H27" s="16">
        <v>183.4</v>
      </c>
      <c r="I27" s="22">
        <v>98.7</v>
      </c>
      <c r="J27" s="23">
        <v>28000</v>
      </c>
      <c r="K27" s="23">
        <v>38000</v>
      </c>
      <c r="L27" s="23">
        <v>45000</v>
      </c>
      <c r="M27" s="12" t="s">
        <v>1820</v>
      </c>
      <c r="N27" s="14" t="s">
        <v>1821</v>
      </c>
    </row>
    <row r="28" s="1" customFormat="1" ht="35" customHeight="1" spans="1:14">
      <c r="A28" s="12">
        <v>26</v>
      </c>
      <c r="B28" s="13" t="str">
        <f>_xlfn.DISPIMG("ID_CD46B8401C7948BCBF2D9AF24FC3DD04",1)</f>
        <v>=DISPIMG("ID_CD46B8401C7948BCBF2D9AF24FC3DD04",1)</v>
      </c>
      <c r="C28" s="18" t="s">
        <v>1822</v>
      </c>
      <c r="D28" s="12" t="s">
        <v>1622</v>
      </c>
      <c r="E28" s="12" t="s">
        <v>1143</v>
      </c>
      <c r="F28" s="12" t="s">
        <v>1823</v>
      </c>
      <c r="G28" s="12" t="s">
        <v>1824</v>
      </c>
      <c r="H28" s="16">
        <v>351.3</v>
      </c>
      <c r="I28" s="27">
        <v>50.4</v>
      </c>
      <c r="J28" s="26">
        <v>40000</v>
      </c>
      <c r="K28" s="26">
        <v>40000</v>
      </c>
      <c r="L28" s="26">
        <v>50000</v>
      </c>
      <c r="M28" s="12" t="s">
        <v>1825</v>
      </c>
      <c r="N28" s="12" t="s">
        <v>43</v>
      </c>
    </row>
    <row r="29" s="3" customFormat="1" ht="35" customHeight="1" spans="1:14">
      <c r="A29" s="12">
        <v>27</v>
      </c>
      <c r="B29" s="20" t="str">
        <f>_xlfn.DISPIMG("ID_8051392841D248C388F7FDA1B304E6CA",1)</f>
        <v>=DISPIMG("ID_8051392841D248C388F7FDA1B304E6CA",1)</v>
      </c>
      <c r="C29" s="18" t="s">
        <v>1826</v>
      </c>
      <c r="D29" s="12" t="s">
        <v>1827</v>
      </c>
      <c r="E29" s="12" t="s">
        <v>1828</v>
      </c>
      <c r="F29" s="12" t="s">
        <v>1829</v>
      </c>
      <c r="G29" s="12" t="s">
        <v>1830</v>
      </c>
      <c r="H29" s="16">
        <v>52.8</v>
      </c>
      <c r="I29" s="27">
        <v>365.5</v>
      </c>
      <c r="J29" s="24">
        <v>8000</v>
      </c>
      <c r="K29" s="24">
        <v>10000</v>
      </c>
      <c r="L29" s="24">
        <v>13000</v>
      </c>
      <c r="M29" s="12" t="s">
        <v>1831</v>
      </c>
      <c r="N29" s="12" t="s">
        <v>43</v>
      </c>
    </row>
    <row r="30" customFormat="1" ht="35" customHeight="1" spans="1:14">
      <c r="A30" s="12">
        <v>28</v>
      </c>
      <c r="B30" s="17" t="str">
        <f>_xlfn.DISPIMG("ID_627716413EF2477EBAB917183D52CFDE",1)</f>
        <v>=DISPIMG("ID_627716413EF2477EBAB917183D52CFDE",1)</v>
      </c>
      <c r="C30" s="14" t="s">
        <v>1832</v>
      </c>
      <c r="D30" s="15" t="s">
        <v>1833</v>
      </c>
      <c r="E30" s="14" t="s">
        <v>448</v>
      </c>
      <c r="F30" s="14" t="s">
        <v>1834</v>
      </c>
      <c r="G30" s="12" t="s">
        <v>1835</v>
      </c>
      <c r="H30" s="16">
        <v>341.6</v>
      </c>
      <c r="I30" s="22">
        <v>31.5</v>
      </c>
      <c r="J30" s="23">
        <v>30000</v>
      </c>
      <c r="K30" s="23">
        <v>30000</v>
      </c>
      <c r="L30" s="23">
        <v>50000</v>
      </c>
      <c r="M30" s="12" t="s">
        <v>1836</v>
      </c>
      <c r="N30" s="14" t="s">
        <v>1248</v>
      </c>
    </row>
    <row r="31" customFormat="1" ht="35" customHeight="1" spans="1:14">
      <c r="A31" s="12">
        <v>29</v>
      </c>
      <c r="B31" s="17" t="str">
        <f>_xlfn.DISPIMG("ID_A3F44AC569AB446BA8AB93D7247E5A6B",1)</f>
        <v>=DISPIMG("ID_A3F44AC569AB446BA8AB93D7247E5A6B",1)</v>
      </c>
      <c r="C31" s="14" t="s">
        <v>1837</v>
      </c>
      <c r="D31" s="15">
        <v>8372328</v>
      </c>
      <c r="E31" s="14" t="s">
        <v>448</v>
      </c>
      <c r="F31" s="14" t="s">
        <v>1838</v>
      </c>
      <c r="G31" s="12" t="s">
        <v>1839</v>
      </c>
      <c r="H31" s="16">
        <v>199.3</v>
      </c>
      <c r="I31" s="22" t="s">
        <v>39</v>
      </c>
      <c r="J31" s="23">
        <v>15000</v>
      </c>
      <c r="K31" s="23">
        <v>20000</v>
      </c>
      <c r="L31" s="23">
        <v>28000</v>
      </c>
      <c r="M31" s="12" t="s">
        <v>1840</v>
      </c>
      <c r="N31" s="14" t="s">
        <v>43</v>
      </c>
    </row>
    <row r="32" s="1" customFormat="1" ht="35" customHeight="1" spans="1:14">
      <c r="A32" s="12">
        <v>30</v>
      </c>
      <c r="B32" s="20" t="str">
        <f>_xlfn.DISPIMG("ID_549C5029CD594BBF8A3751E507A88A23",1)</f>
        <v>=DISPIMG("ID_549C5029CD594BBF8A3751E507A88A23",1)</v>
      </c>
      <c r="C32" s="18" t="s">
        <v>1841</v>
      </c>
      <c r="D32" s="12" t="s">
        <v>1842</v>
      </c>
      <c r="E32" s="16" t="s">
        <v>1843</v>
      </c>
      <c r="F32" s="12" t="s">
        <v>1844</v>
      </c>
      <c r="G32" s="12" t="s">
        <v>1845</v>
      </c>
      <c r="H32" s="16">
        <v>140.2</v>
      </c>
      <c r="I32" s="27" t="s">
        <v>39</v>
      </c>
      <c r="J32" s="26">
        <v>25000</v>
      </c>
      <c r="K32" s="26">
        <v>35000</v>
      </c>
      <c r="L32" s="26">
        <v>45000</v>
      </c>
      <c r="M32" s="12" t="s">
        <v>1846</v>
      </c>
      <c r="N32" s="12" t="s">
        <v>43</v>
      </c>
    </row>
    <row r="33" customFormat="1" ht="35" customHeight="1" spans="1:14">
      <c r="A33" s="12">
        <v>31</v>
      </c>
      <c r="B33" s="17" t="str">
        <f>_xlfn.DISPIMG("ID_3BA253F562B54339B4A9619792A8864F",1)</f>
        <v>=DISPIMG("ID_3BA253F562B54339B4A9619792A8864F",1)</v>
      </c>
      <c r="C33" s="14" t="s">
        <v>1847</v>
      </c>
      <c r="D33" s="18">
        <v>6944639</v>
      </c>
      <c r="E33" s="14" t="s">
        <v>448</v>
      </c>
      <c r="F33" s="14" t="s">
        <v>1848</v>
      </c>
      <c r="G33" s="12" t="s">
        <v>1849</v>
      </c>
      <c r="H33" s="16">
        <v>67.3</v>
      </c>
      <c r="I33" s="22">
        <v>238.1</v>
      </c>
      <c r="J33" s="24">
        <v>13000</v>
      </c>
      <c r="K33" s="24">
        <v>17000</v>
      </c>
      <c r="L33" s="24">
        <v>30000</v>
      </c>
      <c r="M33" s="12" t="s">
        <v>1850</v>
      </c>
      <c r="N33" s="14" t="s">
        <v>354</v>
      </c>
    </row>
    <row r="34" customFormat="1" ht="35" customHeight="1" spans="1:14">
      <c r="A34" s="12">
        <v>32</v>
      </c>
      <c r="B34" s="17" t="str">
        <f>_xlfn.DISPIMG("ID_170B7E6763BC45D0855B5D0F0FBEAA56",1)</f>
        <v>=DISPIMG("ID_170B7E6763BC45D0855B5D0F0FBEAA56",1)</v>
      </c>
      <c r="C34" s="14" t="s">
        <v>1851</v>
      </c>
      <c r="D34" s="18" t="s">
        <v>1852</v>
      </c>
      <c r="E34" s="14" t="s">
        <v>448</v>
      </c>
      <c r="F34" s="14" t="s">
        <v>1853</v>
      </c>
      <c r="G34" s="12" t="s">
        <v>1854</v>
      </c>
      <c r="H34" s="16">
        <v>61.7</v>
      </c>
      <c r="I34" s="22">
        <v>551.8</v>
      </c>
      <c r="J34" s="24">
        <v>11000</v>
      </c>
      <c r="K34" s="24">
        <v>15000</v>
      </c>
      <c r="L34" s="24">
        <v>20000</v>
      </c>
      <c r="M34" s="12" t="s">
        <v>1855</v>
      </c>
      <c r="N34" s="14" t="s">
        <v>43</v>
      </c>
    </row>
    <row r="35" customFormat="1" ht="35" customHeight="1" spans="1:14">
      <c r="A35" s="12">
        <v>33</v>
      </c>
      <c r="B35" s="17" t="str">
        <f>_xlfn.DISPIMG("ID_944A52349608496F82FAF7AF11D27DA3",1)</f>
        <v>=DISPIMG("ID_944A52349608496F82FAF7AF11D27DA3",1)</v>
      </c>
      <c r="C35" s="14" t="s">
        <v>1856</v>
      </c>
      <c r="D35" s="15" t="s">
        <v>1857</v>
      </c>
      <c r="E35" s="14" t="s">
        <v>448</v>
      </c>
      <c r="F35" s="14" t="s">
        <v>1858</v>
      </c>
      <c r="G35" s="12" t="s">
        <v>1859</v>
      </c>
      <c r="H35" s="16">
        <v>273.5</v>
      </c>
      <c r="I35" s="22">
        <v>152.2</v>
      </c>
      <c r="J35" s="23">
        <v>25000</v>
      </c>
      <c r="K35" s="23">
        <v>30000</v>
      </c>
      <c r="L35" s="23">
        <v>40000</v>
      </c>
      <c r="M35" s="12" t="s">
        <v>1860</v>
      </c>
      <c r="N35" s="14" t="s">
        <v>43</v>
      </c>
    </row>
    <row r="36" customFormat="1" ht="35" customHeight="1" spans="1:14">
      <c r="A36" s="12">
        <v>34</v>
      </c>
      <c r="B36" s="17" t="str">
        <f>_xlfn.DISPIMG("ID_42A3276CF51A41A4BF84A20901EC4C0D",1)</f>
        <v>=DISPIMG("ID_42A3276CF51A41A4BF84A20901EC4C0D",1)</v>
      </c>
      <c r="C36" s="14" t="s">
        <v>1861</v>
      </c>
      <c r="D36" s="15" t="s">
        <v>1862</v>
      </c>
      <c r="E36" s="14" t="s">
        <v>448</v>
      </c>
      <c r="F36" s="14" t="s">
        <v>1863</v>
      </c>
      <c r="G36" s="12" t="s">
        <v>1864</v>
      </c>
      <c r="H36" s="16">
        <v>251.4</v>
      </c>
      <c r="I36" s="22">
        <v>219.1</v>
      </c>
      <c r="J36" s="23">
        <v>22000</v>
      </c>
      <c r="K36" s="23">
        <v>25000</v>
      </c>
      <c r="L36" s="23" t="s">
        <v>39</v>
      </c>
      <c r="M36" s="12" t="s">
        <v>39</v>
      </c>
      <c r="N36" s="14" t="s">
        <v>354</v>
      </c>
    </row>
    <row r="37" customFormat="1" ht="35" customHeight="1" spans="1:14">
      <c r="A37" s="12">
        <v>35</v>
      </c>
      <c r="B37" s="17" t="str">
        <f>_xlfn.DISPIMG("ID_D9E77F299095469D954CFC957C7F9A65",1)</f>
        <v>=DISPIMG("ID_D9E77F299095469D954CFC957C7F9A65",1)</v>
      </c>
      <c r="C37" s="14" t="s">
        <v>1865</v>
      </c>
      <c r="D37" s="15">
        <v>85829857</v>
      </c>
      <c r="E37" s="14" t="s">
        <v>448</v>
      </c>
      <c r="F37" s="14" t="s">
        <v>1866</v>
      </c>
      <c r="G37" s="12" t="s">
        <v>1867</v>
      </c>
      <c r="H37" s="16">
        <v>147.4</v>
      </c>
      <c r="I37" s="22">
        <v>827.5</v>
      </c>
      <c r="J37" s="23">
        <v>25000</v>
      </c>
      <c r="K37" s="23">
        <v>30000</v>
      </c>
      <c r="L37" s="23">
        <v>35000</v>
      </c>
      <c r="M37" s="12" t="s">
        <v>1868</v>
      </c>
      <c r="N37" s="14" t="s">
        <v>1869</v>
      </c>
    </row>
    <row r="38" s="1" customFormat="1" ht="35" customHeight="1" spans="1:14">
      <c r="A38" s="12">
        <v>36</v>
      </c>
      <c r="B38" s="20" t="str">
        <f>_xlfn.DISPIMG("ID_95521064C5F04974854A6490DD5C33C9",1)</f>
        <v>=DISPIMG("ID_95521064C5F04974854A6490DD5C33C9",1)</v>
      </c>
      <c r="C38" s="18" t="s">
        <v>1870</v>
      </c>
      <c r="D38" s="12" t="s">
        <v>1871</v>
      </c>
      <c r="E38" s="12" t="s">
        <v>448</v>
      </c>
      <c r="F38" s="12" t="s">
        <v>1872</v>
      </c>
      <c r="G38" s="12" t="s">
        <v>1873</v>
      </c>
      <c r="H38" s="16">
        <v>115</v>
      </c>
      <c r="I38" s="27">
        <v>746.4</v>
      </c>
      <c r="J38" s="26">
        <v>15000</v>
      </c>
      <c r="K38" s="26">
        <v>20000</v>
      </c>
      <c r="L38" s="26">
        <v>35000</v>
      </c>
      <c r="M38" s="12" t="s">
        <v>1874</v>
      </c>
      <c r="N38" s="12" t="s">
        <v>43</v>
      </c>
    </row>
    <row r="39" s="1" customFormat="1" ht="35" customHeight="1" spans="1:14">
      <c r="A39" s="12">
        <v>37</v>
      </c>
      <c r="B39" s="13" t="str">
        <f>_xlfn.DISPIMG("ID_077377ADD3C24B33BCCC53FAD7D87B8B",1)</f>
        <v>=DISPIMG("ID_077377ADD3C24B33BCCC53FAD7D87B8B",1)</v>
      </c>
      <c r="C39" s="18" t="s">
        <v>1875</v>
      </c>
      <c r="D39" s="12" t="s">
        <v>1876</v>
      </c>
      <c r="E39" s="12" t="s">
        <v>448</v>
      </c>
      <c r="F39" s="12" t="s">
        <v>1877</v>
      </c>
      <c r="G39" s="12" t="s">
        <v>1878</v>
      </c>
      <c r="H39" s="16">
        <v>19.6</v>
      </c>
      <c r="I39" s="27" t="s">
        <v>39</v>
      </c>
      <c r="J39" s="26">
        <v>25000</v>
      </c>
      <c r="K39" s="26">
        <v>35000</v>
      </c>
      <c r="L39" s="26">
        <v>50000</v>
      </c>
      <c r="M39" s="12" t="s">
        <v>39</v>
      </c>
      <c r="N39" s="12" t="s">
        <v>43</v>
      </c>
    </row>
    <row r="40" customFormat="1" ht="35" customHeight="1" spans="1:14">
      <c r="A40" s="12">
        <v>38</v>
      </c>
      <c r="B40" s="17" t="str">
        <f>_xlfn.DISPIMG("ID_D9FB7FDC3CA64F10A2691A5E85966BA3",1)</f>
        <v>=DISPIMG("ID_D9FB7FDC3CA64F10A2691A5E85966BA3",1)</v>
      </c>
      <c r="C40" s="14" t="s">
        <v>1879</v>
      </c>
      <c r="D40" s="15">
        <v>342906081</v>
      </c>
      <c r="E40" s="14" t="s">
        <v>448</v>
      </c>
      <c r="F40" s="14" t="s">
        <v>1880</v>
      </c>
      <c r="G40" s="12" t="s">
        <v>1881</v>
      </c>
      <c r="H40" s="16">
        <v>63.8</v>
      </c>
      <c r="I40" s="22">
        <v>485.7</v>
      </c>
      <c r="J40" s="23">
        <v>12000</v>
      </c>
      <c r="K40" s="23">
        <v>12000</v>
      </c>
      <c r="L40" s="23">
        <v>15600</v>
      </c>
      <c r="M40" s="12" t="s">
        <v>1882</v>
      </c>
      <c r="N40" s="14" t="s">
        <v>43</v>
      </c>
    </row>
    <row r="41" customFormat="1" ht="35" customHeight="1" spans="1:14">
      <c r="A41" s="14">
        <v>39</v>
      </c>
      <c r="B41" s="17" t="str">
        <f>_xlfn.DISPIMG("ID_AE0D326C3431465AB31A17963D0A4333",1)</f>
        <v>=DISPIMG("ID_AE0D326C3431465AB31A17963D0A4333",1)</v>
      </c>
      <c r="C41" s="12" t="s">
        <v>1883</v>
      </c>
      <c r="D41" s="15">
        <v>96201603048</v>
      </c>
      <c r="E41" s="14" t="s">
        <v>1884</v>
      </c>
      <c r="F41" s="14" t="s">
        <v>1885</v>
      </c>
      <c r="G41" s="12" t="s">
        <v>1886</v>
      </c>
      <c r="H41" s="12">
        <v>29.1</v>
      </c>
      <c r="I41" s="22">
        <v>194.6</v>
      </c>
      <c r="J41" s="24">
        <v>6500</v>
      </c>
      <c r="K41" s="24">
        <v>7500</v>
      </c>
      <c r="L41" s="24">
        <v>8000</v>
      </c>
      <c r="M41" s="12" t="s">
        <v>39</v>
      </c>
      <c r="N41" s="14" t="s">
        <v>43</v>
      </c>
    </row>
    <row r="42" customFormat="1" ht="35" customHeight="1" spans="1:14">
      <c r="A42" s="14">
        <v>40</v>
      </c>
      <c r="B42" s="17" t="str">
        <f>_xlfn.DISPIMG("ID_BC10D53D01AB439C8C91A8495437B0BD",1)</f>
        <v>=DISPIMG("ID_BC10D53D01AB439C8C91A8495437B0BD",1)</v>
      </c>
      <c r="C42" s="12" t="s">
        <v>1887</v>
      </c>
      <c r="D42" s="15" t="s">
        <v>1888</v>
      </c>
      <c r="E42" s="14" t="s">
        <v>1889</v>
      </c>
      <c r="F42" s="14" t="s">
        <v>1890</v>
      </c>
      <c r="G42" s="12" t="s">
        <v>1891</v>
      </c>
      <c r="H42" s="12">
        <v>28.1</v>
      </c>
      <c r="I42" s="22" t="s">
        <v>39</v>
      </c>
      <c r="J42" s="24">
        <v>12000</v>
      </c>
      <c r="K42" s="24">
        <v>12000</v>
      </c>
      <c r="L42" s="24">
        <v>15000</v>
      </c>
      <c r="M42" s="12" t="s">
        <v>39</v>
      </c>
      <c r="N42" s="14" t="s">
        <v>1892</v>
      </c>
    </row>
    <row r="43" customFormat="1" ht="35" customHeight="1" spans="1:14">
      <c r="A43" s="14">
        <v>41</v>
      </c>
      <c r="B43" s="13" t="str">
        <f>_xlfn.DISPIMG("ID_E3BD1E96CA0D4B378BED86B334AF6563",1)</f>
        <v>=DISPIMG("ID_E3BD1E96CA0D4B378BED86B334AF6563",1)</v>
      </c>
      <c r="C43" s="12" t="s">
        <v>1893</v>
      </c>
      <c r="D43" s="15" t="s">
        <v>1894</v>
      </c>
      <c r="E43" s="14" t="s">
        <v>1536</v>
      </c>
      <c r="F43" s="14" t="s">
        <v>1895</v>
      </c>
      <c r="G43" s="12" t="s">
        <v>1896</v>
      </c>
      <c r="H43" s="12">
        <v>11.4</v>
      </c>
      <c r="I43" s="22" t="s">
        <v>39</v>
      </c>
      <c r="J43" s="24">
        <v>2000</v>
      </c>
      <c r="K43" s="24">
        <v>3000</v>
      </c>
      <c r="L43" s="24">
        <v>5000</v>
      </c>
      <c r="M43" s="12" t="s">
        <v>39</v>
      </c>
      <c r="N43" s="14" t="s">
        <v>43</v>
      </c>
    </row>
    <row r="44" customFormat="1" ht="35" customHeight="1" spans="1:14">
      <c r="A44" s="14">
        <v>42</v>
      </c>
      <c r="B44" s="17" t="str">
        <f>_xlfn.DISPIMG("ID_5CD421089FC443FC94858D5BE6B5A6DF",1)</f>
        <v>=DISPIMG("ID_5CD421089FC443FC94858D5BE6B5A6DF",1)</v>
      </c>
      <c r="C44" s="12" t="s">
        <v>1897</v>
      </c>
      <c r="D44" s="15">
        <v>1537298468</v>
      </c>
      <c r="E44" s="14" t="s">
        <v>1898</v>
      </c>
      <c r="F44" s="14" t="s">
        <v>1899</v>
      </c>
      <c r="G44" s="12" t="s">
        <v>1900</v>
      </c>
      <c r="H44" s="12">
        <v>30.9</v>
      </c>
      <c r="I44" s="22">
        <v>209.1</v>
      </c>
      <c r="J44" s="24">
        <v>8000</v>
      </c>
      <c r="K44" s="24">
        <v>10000</v>
      </c>
      <c r="L44" s="24">
        <v>12000</v>
      </c>
      <c r="M44" s="12" t="s">
        <v>39</v>
      </c>
      <c r="N44" s="14" t="s">
        <v>43</v>
      </c>
    </row>
  </sheetData>
  <autoFilter xmlns:etc="http://www.wps.cn/officeDocument/2017/etCustomData" ref="A2:XEV44" etc:filterBottomFollowUsedRange="0">
    <extLst/>
  </autoFilter>
  <mergeCells count="1">
    <mergeCell ref="A1:N1"/>
  </mergeCells>
  <hyperlinks>
    <hyperlink ref="F5" r:id="rId2" display="https://v.douyin.com/KgqDkX/" tooltip="https://v.douyin.com/KgqDkX/"/>
    <hyperlink ref="F16" r:id="rId3" display="https://v.douyin.com/88tpRCb/"/>
    <hyperlink ref="F26" r:id="rId4" display="https://v.douyin.com/eaRJPHe/"/>
    <hyperlink ref="F35" r:id="rId5" display="https://v.douyin.com/e18x2s1/"/>
    <hyperlink ref="F8" r:id="rId6" display="https://v.douyin.com/e1dopKv/"/>
    <hyperlink ref="F11" r:id="rId7" display="https://v.douyin.com/e1dnU3C/"/>
    <hyperlink ref="F17" r:id="rId8" display="https://v.douyin.com/Nxd9ASM/" tooltip="https://v.douyin.com/Nxd9ASM/"/>
    <hyperlink ref="F19" r:id="rId9" display="https://v.douyin.com/NYLfLoo/"/>
    <hyperlink ref="F34" r:id="rId10" display="https://v.douyin.com/2YyFKRa/" tooltip="https://v.douyin.com/2YyFKRa/"/>
    <hyperlink ref="F21" r:id="rId11" display="https://v.douyin.com/2UXTXty/"/>
    <hyperlink ref="F4" r:id="rId12" display="https://v.douyin.com/jcNSUkH/"/>
    <hyperlink ref="F36" r:id="rId13" display="https://v.douyin.com/M24DLmv/"/>
    <hyperlink ref="F30" r:id="rId14" display="https://v.douyin.com/M9X4uma/"/>
    <hyperlink ref="F12" r:id="rId15" display="https://v.douyin.com/MGD2ddg/"/>
    <hyperlink ref="F37" r:id="rId16" display="https://v.douyin.com/rBBM3qN/" tooltip="https://v.douyin.com/rBBM3qN/"/>
    <hyperlink ref="F14" r:id="rId17" display="https://v.douyin.com/r9u5aCX/"/>
    <hyperlink ref="F13" r:id="rId18" display="https://v.douyin.com/M2Vyncu/"/>
    <hyperlink ref="F23" r:id="rId19" display="https://v.douyin.com/hRNGF1m/"/>
    <hyperlink ref="F9" r:id="rId20" display="https://v.douyin.com/2W7nbwM/"/>
    <hyperlink ref="F6" r:id="rId21" display="https://v.douyin.com/rfgepnY/"/>
    <hyperlink ref="F25" r:id="rId22" display="https://v.douyin.com/6YgpP71/"/>
    <hyperlink ref="F31" r:id="rId23" display="https://v.douyin.com/A4Wbyjf/"/>
    <hyperlink ref="F7" r:id="rId24" display="https://v.douyin.com/yNkevye/"/>
    <hyperlink ref="F15" r:id="rId25" display="https://v.douyin.com/yFCq9y3/"/>
    <hyperlink ref="F33" r:id="rId26" display="https://v.douyin.com/DDtQneX/"/>
    <hyperlink ref="F40" r:id="rId27" display="https://v.douyin.com/eNCkcEU/"/>
    <hyperlink ref="F22" r:id="rId28" display="https://v.douyin.com/i8aCMmDk/"/>
    <hyperlink ref="F18" r:id="rId29" display="https://v.douyin.com/nthyDT/"/>
    <hyperlink ref="F10" r:id="rId30" display="https://v.douyin.com/i2nY4afF/"/>
    <hyperlink ref="F42" r:id="rId31" display="https://v.douyin.com/FswYnjx/"/>
    <hyperlink ref="F44" r:id="rId32" display="https://v.douyin.com/iJW1TXLv/"/>
    <hyperlink ref="F43" r:id="rId33" display="https://v.douyin.com/idjuYaHy/"/>
    <hyperlink ref="F41" r:id="rId34" display="https://v.douyin.com/i8cKAwaa/ 8@0.com"/>
    <hyperlink ref="F24" r:id="rId35" display="https://v.douyin.com/vP3VmxRgiLI/"/>
    <hyperlink ref="F20" r:id="rId36" display="https://v.douyin.com/M3spsCWS4Tc/"/>
    <hyperlink ref="F38" r:id="rId37" display="https://v.douyin.com/hqXeQ5d/"/>
    <hyperlink ref="F32" r:id="rId38" display="https://v.douyin.com/e1doPyC/"/>
    <hyperlink ref="F29" r:id="rId39" display="https://v.douyin.com/iY85wBRt/"/>
    <hyperlink ref="F39" r:id="rId40" display="https://v.douyin.com/C2FPaiMOprM/" tooltip="https://v.douyin.com/C2FPaiMOprM/"/>
    <hyperlink ref="F28" r:id="rId41" display="https://v.douyin.com/JSacLxr/"/>
    <hyperlink ref="F3" r:id="rId42" display="https://v.douyin.com/mQXUpIr3xO0/"/>
    <hyperlink ref="G3" r:id="rId43" display="https://www.xingtu.cn/ad/creator/author-homepage/douyin-video/7076403130594033678?market_track_id=P8TI4U0ZI419EIVFDDYY&amp;search_session_id=7550213941088731178&amp;possessStarId"/>
    <hyperlink ref="G4" r:id="rId44" display="https://www.xingtu.cn/ad/creator/author-homepage/douyin-video/6596677802471194632?market_track_id=7K3P848J94AIY0B8HVXG&amp;search_session_id=7550214716455993398&amp;possessStarId"/>
    <hyperlink ref="G5" r:id="rId45" display="https://www.xingtu.cn/ad/creator/author-homepage/douyin-video/6813232546902458375?market_track_id=BVDKVPFUAWIVRPM3WPB2&amp;search_session_id=7550214842054377491&amp;possessStarId"/>
    <hyperlink ref="G6" r:id="rId46" display="https://www.xingtu.cn/ad/creator/author-homepage/douyin-video/7128380987993489438?market_track_id=3XWNK7LWA21OEENNFR80&amp;search_session_id=7550214870017998891&amp;possessStarId"/>
    <hyperlink ref="G7" r:id="rId47" display="https://www.xingtu.cn/ad/creator/author-homepage/douyin-video/6596679498022780936?market_track_id=OT328YAVVPOJZEPAV52J&amp;search_session_id=7550215036942712851&amp;possessStarId"/>
    <hyperlink ref="G8" r:id="rId48" display="https://www.xingtu.cn/ad/creator/author-homepage/douyin-video/6801043323701166093?market_track_id=WRWTEVNZUU1314FZAKXZ&amp;search_session_id=7550215047575666724&amp;possessStarId"/>
    <hyperlink ref="G9" r:id="rId49" display="https://www.xingtu.cn/ad/creator/author-homepage/douyin-video/7118636721230577700?market_track_id=3VV5ZBKXKBMKIPIX3IZH&amp;search_session_id=7550215159429333031&amp;possessStarId"/>
    <hyperlink ref="G10" r:id="rId50" display="https://www.xingtu.cn/ad/creator/author-homepage/douyin-video/7300476344071110693?market_track_id=715DEKOOY6EFZPKN3OS6&amp;search_session_id=7550216179446022183&amp;possessStarId"/>
    <hyperlink ref="G11" r:id="rId51" display="https://www.xingtu.cn/ad/creator/author-homepage/douyin-video/6810311904263667719?market_track_id=26ZQGJM6ARET41LHTQMT&amp;search_session_id=7550216389245009961&amp;possessStarId"/>
    <hyperlink ref="G12" r:id="rId52" display="https://www.xingtu.cn/ad/creator/author-homepage/douyin-video/6870160278256877575?market_track_id=3LL79BGB9UFX09DG0NHY&amp;search_session_id=7550216925402562596&amp;possessStarId"/>
    <hyperlink ref="G13" r:id="rId53" display="https://www.xingtu.cn/ad/creator/author-homepage/douyin-video/7166195684566122527?market_track_id=6WOEC7LBA7M44FGNOW6D&amp;search_session_id=7550216883361103914&amp;possessStarId"/>
    <hyperlink ref="G14" r:id="rId54" display="https://www.xingtu.cn/ad/creator/author-homepage/douyin-video/6975046900315602952?market_track_id=ZRCHHS6E7TF880DRTDWR&amp;search_session_id=7550217075030278183&amp;possessStarId"/>
    <hyperlink ref="G15" r:id="rId55" display="https://www.xingtu.cn/ad/creator/author-homepage/douyin-video/7055186462358110239?market_track_id=0S6MHXHBLH5VC2WLNDJ2&amp;search_session_id=7550217075030540327&amp;possessStarId"/>
    <hyperlink ref="G16" r:id="rId56" display="https://www.xingtu.cn/ad/creator/author-homepage/douyin-video/6871549993585475587?market_track_id=RH48477MKB1VR1UNYGCS&amp;search_session_id=7550217075030884391&amp;possessStarId"/>
    <hyperlink ref="G17" r:id="rId57" display="https://www.xingtu.cn/ad/creator/author-homepage/douyin-video/6771687805455171592?market_track_id=BH5AYQ2H363H7JB3I40B&amp;search_session_id=7550217227610570793&amp;possessStarId"/>
    <hyperlink ref="G18" r:id="rId58" display="https://www.xingtu.cn/ad/creator/author-homepage/douyin-video/6760484915038388231?market_track_id=D2I814U0YF0H0S78V4NX&amp;search_session_id=7550217255607664679&amp;possessStarId"/>
    <hyperlink ref="G19" r:id="rId59" display="https://www.xingtu.cn/ad/creator/author-homepage/douyin-video/6800827006318542862?market_track_id=WGDIPUY8NR4CR015XCAO&amp;search_session_id=7550217227611275305&amp;possessStarId"/>
    <hyperlink ref="G20" r:id="rId60" display="https://www.xingtu.cn/ad/creator/author-homepage/douyin-video/6615821710526513155?market_track_id=J9CDG8ZG8UK9OYQGJ5M5&amp;search_session_id=7550217578959552566&amp;possessStarId"/>
    <hyperlink ref="G21" r:id="rId61" display="https://www.xingtu.cn/ad/creator/author-homepage/douyin-video/6746850933226864648?market_track_id=37LQJRA8RFLWA1W5KMPR&amp;search_session_id=7550218188709986367&amp;possessStarId&amp;active_tab=content_performance&amp;active_module=.content-video-list-panel&amp;content_key_word=%E9%AA%86%E8%BE%BE%E5%8D%8E"/>
    <hyperlink ref="G22" r:id="rId62" display="https://www.xingtu.cn/ad/creator/author-homepage/douyin-video/6870161239037706253?market_track_id=KGDOIV1C637VKVSO8BCI&amp;search_session_id=7550218122440671274&amp;possessStarId"/>
    <hyperlink ref="G23" r:id="rId63" display="https://www.xingtu.cn/ad/creator/author-homepage/douyin-video/6870171692560285704?market_track_id=PKGA9TFTOJ2PF6UVNROI&amp;search_session_id=7550218365831479337&amp;possessStarId"/>
    <hyperlink ref="G24" r:id="rId64" display="https://www.xingtu.cn/ad/creator/author-homepage/douyin-video/6939042595356016652?market_track_id=RLBNH1FQESPB8C52YN6Q&amp;search_session_id=7550218385226334251&amp;possessStarId"/>
    <hyperlink ref="G25" r:id="rId65" display="https://www.xingtu.cn/ad/creator/author-homepage/douyin-video/6793167491402039303?market_track_id=7F8A7KC1KF4UKHWNALGM&amp;search_session_id=7550218554697007123&amp;possessStarId"/>
    <hyperlink ref="G26" r:id="rId66" display="https://www.xingtu.cn/ad/creator/author-homepage/douyin-video/6640252091245789188?market_track_id=JNL5RRSOVC13VRKRVW2N&amp;search_session_id=7550218554697433107&amp;possessStarId"/>
    <hyperlink ref="G28" r:id="rId67" display="https://www.xingtu.cn/ad/creator/author-homepage/douyin-video/6629723424748994564?market_track_id=YXGB38SFJ1L77C44WCD0&amp;search_session_id=7550218778458472511&amp;possessStarId"/>
    <hyperlink ref="G29" r:id="rId68" display="https://www.xingtu.cn/ad/creator/author-homepage/douyin-video/7237162630903758881?market_track_id=K0JCD31RB8NPRC5GRY4H&amp;search_session_id=7550218956808880170&amp;possessStarId"/>
    <hyperlink ref="G30" r:id="rId69" display="https://www.xingtu.cn/ad/creator/author-homepage/douyin-video/6870164886391881736?market_track_id=3FH7KLPJGOFGX0PPVEEQ&amp;search_session_id=7550219048240283702&amp;possessStarId"/>
    <hyperlink ref="G31" r:id="rId70" display="https://www.xingtu.cn/ad/creator/author-homepage/douyin-video/6596679478083059716?market_track_id=YRGBT4HZY5V5CK4RMLOT&amp;search_session_id=7550219100434202643&amp;possessStarId"/>
    <hyperlink ref="G32" r:id="rId71" display="https://www.xingtu.cn/ad/creator/author-homepage/douyin-video/6752283658423369736?market_track_id=QBTA8M6RSOE4YX5DOC9T&amp;search_session_id=7550219048241184822&amp;possessStarId"/>
    <hyperlink ref="G33" r:id="rId72" display="https://www.xingtu.cn/ad/creator/author-homepage/douyin-video/6629661007348236302?market_track_id=FFE8SV4SP2U10W5XYRKU&amp;search_session_id=7550219239991345195&amp;possessStarId"/>
    <hyperlink ref="G34" r:id="rId73" display="https://www.xingtu.cn/ad/creator/author-homepage/douyin-video/6857897954808692750?market_track_id=HWN95LTAQCHX7FK4HG2R&amp;search_session_id=7550219239991771179&amp;possessStarId"/>
    <hyperlink ref="G35" r:id="rId74" display="https://www.xingtu.cn/ad/creator/author-homepage/douyin-video/6677157331165249539?market_track_id=TC09IWAFYQRVSS5KRSSL&amp;search_session_id=7550219394329231403&amp;possessStarId"/>
    <hyperlink ref="G36" r:id="rId75" display="https://www.xingtu.cn/ad/creator/author-homepage/douyin-video/6696322364461809672?market_track_id=M6EWHH08FJHCIL1ZSS64&amp;search_session_id=7550219449585025087&amp;possessStarId"/>
    <hyperlink ref="G37" r:id="rId76" display="https://www.xingtu.cn/ad/creator/author-homepage/douyin-video/6870162535404797965?market_track_id=K1Y6UN6CBDFD07ZPM7F4&amp;search_session_id=7550219598248968246&amp;possessStarId"/>
    <hyperlink ref="G38" r:id="rId77" display="https://www.xingtu.cn/ad/creator/author-homepage/douyin-video/6742066222692565006?market_track_id=FZADQ8CXP9WR64C04VUF&amp;search_session_id=7550219814963724307&amp;possessStarId"/>
    <hyperlink ref="G39" r:id="rId78" display="https://www.xingtu.cn/ad/creator/author-homepage/douyin-video/7001886618818707491?market_track_id=PA8P24MD9ZNXK2NVY5FY&amp;search_session_id=7550219864423481387&amp;possessStarId"/>
    <hyperlink ref="G40" r:id="rId79" display="https://www.xingtu.cn/ad/creator/author-homepage/douyin-video/6870164604043919367?market_track_id=KCUK9D94UPOOJ5HYMO6W&amp;search_session_id=7550219973672501291&amp;possessStarId"/>
    <hyperlink ref="G41" r:id="rId80" display="https://www.xingtu.cn/ad/creator/author-homepage/douyin-video/7281638336735739943?market_track_id=8GK099J7N7JPB8RYHF8U&amp;search_session_id=7550220054031089703&amp;possessStarId"/>
    <hyperlink ref="G42" r:id="rId81" display="https://www.xingtu.cn/ad/creator/author-homepage/douyin-video/7062567598881243151?market_track_id=JH9AXT9UZ5CVRQUTBKEH&amp;search_session_id=7550220484609982506&amp;possessStarId"/>
    <hyperlink ref="G43" r:id="rId82" display="https://www.xingtu.cn/ad/creator/author-homepage/douyin-video/7283823086028193803?market_track_id=2LT707YXXASNCHJM9C3E&amp;search_session_id=7550220625697620010&amp;possessStarId"/>
    <hyperlink ref="G44" r:id="rId83" display="https://www.xingtu.cn/ad/creator/author-homepage/douyin-video/7270472015461482554?market_track_id=YRQZCKGS6C6XRPVJ5T7Y&amp;search_session_id=7550220784732897316&amp;possessStarId"/>
    <hyperlink ref="F27" r:id="rId84" display="https://v.douyin.com/BbNG319/"/>
    <hyperlink ref="G27" r:id="rId85" display="https://www.xingtu.cn/ad/creator/author-homepage/douyin-video/6894600608431472640?market_track_id=TVMBBD6DFZ3H97QQ0N06&amp;search_session_id=7506430716956180521&amp;video_type=2&amp;_route_from=from_page%3DMarket%26search_session_id%3D7506430716956180521%26is_for_order%3D1%26market_track_id%3DTVMBBD6DFZ3H97QQ0N06%26platform_source%3D1%26key%3D%25E4%25B8%2580%25E4%25B8%25AA%25E7%25BE%258E%25E5%25B0%2591%25E9%25B9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</hyperlink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首页</vt:lpstr>
      <vt:lpstr>抖音自孵达人</vt:lpstr>
      <vt:lpstr>抖音外签达人</vt:lpstr>
      <vt:lpstr>小红书</vt:lpstr>
      <vt:lpstr>懂车帝</vt:lpstr>
      <vt:lpstr>视频号</vt:lpstr>
      <vt:lpstr>快手</vt:lpstr>
      <vt:lpstr>B站</vt:lpstr>
      <vt:lpstr>抖音独家达人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盖杯子</cp:lastModifiedBy>
  <dcterms:created xsi:type="dcterms:W3CDTF">2023-05-13T03:15:00Z</dcterms:created>
  <dcterms:modified xsi:type="dcterms:W3CDTF">2025-09-30T20:28:08Z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A07085553A994DF7B8962BCCFD534E20_13</vt:lpwstr>
  </property>
  <property fmtid="{D5CDD505-2E9C-101B-9397-08002B2CF9AE}" pid="4" name="KSOReadingLayout">
    <vt:bool>true</vt:bool>
  </property>
</Properties>
</file>