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0.webp" ContentType="image/webp"/>
  <Override PartName="/xl/media/image101.webp" ContentType="image/webp"/>
  <Override PartName="/xl/media/image102.webp" ContentType="image/webp"/>
  <Override PartName="/xl/media/image103.webp" ContentType="image/webp"/>
  <Override PartName="/xl/media/image104.webp" ContentType="image/webp"/>
  <Override PartName="/xl/media/image105.webp" ContentType="image/webp"/>
  <Override PartName="/xl/media/image106.webp" ContentType="image/webp"/>
  <Override PartName="/xl/media/image107.webp" ContentType="image/webp"/>
  <Override PartName="/xl/media/image108.webp" ContentType="image/webp"/>
  <Override PartName="/xl/media/image109.webp" ContentType="image/webp"/>
  <Override PartName="/xl/media/image110.webp" ContentType="image/webp"/>
  <Override PartName="/xl/media/image111.webp" ContentType="image/webp"/>
  <Override PartName="/xl/media/image112.webp" ContentType="image/webp"/>
  <Override PartName="/xl/media/image113.webp" ContentType="image/webp"/>
  <Override PartName="/xl/media/image114.webp" ContentType="image/webp"/>
  <Override PartName="/xl/media/image115.webp" ContentType="image/webp"/>
  <Override PartName="/xl/media/image116.webp" ContentType="image/webp"/>
  <Override PartName="/xl/media/image117.webp" ContentType="image/webp"/>
  <Override PartName="/xl/media/image118.webp" ContentType="image/webp"/>
  <Override PartName="/xl/media/image119.webp" ContentType="image/webp"/>
  <Override PartName="/xl/media/image120.webp" ContentType="image/webp"/>
  <Override PartName="/xl/media/image121.webp" ContentType="image/webp"/>
  <Override PartName="/xl/media/image122.webp" ContentType="image/webp"/>
  <Override PartName="/xl/media/image124.webp" ContentType="image/webp"/>
  <Override PartName="/xl/media/image125.webp" ContentType="image/webp"/>
  <Override PartName="/xl/media/image126.webp" ContentType="image/webp"/>
  <Override PartName="/xl/media/image127.webp" ContentType="image/webp"/>
  <Override PartName="/xl/media/image128.webp" ContentType="image/webp"/>
  <Override PartName="/xl/media/image210.webp" ContentType="image/webp"/>
  <Override PartName="/xl/media/image219.webp" ContentType="image/webp"/>
  <Override PartName="/xl/media/image221.webp" ContentType="image/webp"/>
  <Override PartName="/xl/media/image225.webp" ContentType="image/webp"/>
  <Override PartName="/xl/media/image227.webp" ContentType="image/webp"/>
  <Override PartName="/xl/media/image255.webp" ContentType="image/webp"/>
  <Override PartName="/xl/media/image256.webp" ContentType="image/webp"/>
  <Override PartName="/xl/media/image259.webp" ContentType="image/webp"/>
  <Override PartName="/xl/media/image264.webp" ContentType="image/webp"/>
  <Override PartName="/xl/media/image265.webp" ContentType="image/webp"/>
  <Override PartName="/xl/media/image266.webp" ContentType="image/webp"/>
  <Override PartName="/xl/media/image276.webp" ContentType="image/webp"/>
  <Override PartName="/xl/media/image96.webp" ContentType="image/webp"/>
  <Override PartName="/xl/media/image97.webp" ContentType="image/webp"/>
  <Override PartName="/xl/media/image98.webp" ContentType="image/webp"/>
  <Override PartName="/xl/media/image9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懂车帝" sheetId="11" r:id="rId5"/>
    <sheet name="视频号" sheetId="8" r:id="rId6"/>
    <sheet name="快手" sheetId="4" r:id="rId7"/>
    <sheet name="B站" sheetId="6" r:id="rId8"/>
    <sheet name="抖音独家达人 " sheetId="12" r:id="rId9"/>
  </sheets>
  <definedNames>
    <definedName name="_xlnm._FilterDatabase" localSheetId="1" hidden="1">抖音自孵达人!$A$2:$AC$116</definedName>
    <definedName name="_xlnm._FilterDatabase" localSheetId="2" hidden="1">抖音外签达人!$A$2:$O$39</definedName>
    <definedName name="_xlnm._FilterDatabase" localSheetId="3" hidden="1">小红书!$A$2:$O$58</definedName>
    <definedName name="_xlnm._FilterDatabase" localSheetId="4" hidden="1">懂车帝!$A$2:$H$7</definedName>
    <definedName name="_xlnm._FilterDatabase" localSheetId="5" hidden="1">视频号!$A$2:$I$25</definedName>
    <definedName name="_xlnm._FilterDatabase" localSheetId="6" hidden="1">快手!$A$2:$N$29</definedName>
    <definedName name="_xlnm._FilterDatabase" localSheetId="7" hidden="1">B站!$A$2:$M$13</definedName>
    <definedName name="_xlnm._FilterDatabase" localSheetId="8" hidden="1">'抖音独家达人 '!$A$2:$XEV$32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4F316C459DC54E2496697C253DDA406C" descr="渣男金乘五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43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DD6BE69C018A4D75A9AFFE009D0191C5" descr="你的最佳男友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83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087DE66911BC4A23A30A66A1676ADC1E" descr="盆盆Penny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410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4D2DF88B0E1B48C4960BD88ED302D742" descr="周星辰_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2099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EFC9750CF8E540E9B6079702B9F810EA" descr="北鼻小天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953770" y="289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2" name="ID_B79FA78A6504466B86006391C997951C" descr="车圈小晨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220470" y="1805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0" name="ID_1BE1D3D5BDC142DB849E8ADC45855026" descr="做夢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220470" y="1703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9" name="ID_AB0811B705144A9EB90A5C39D8CFB0FC" descr="蛋炒饭🥚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220470" y="165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8" name="ID_F02E829ADFC347619D451B622CB610EA" descr="东东头像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220470" y="160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7" name="ID_3D0895DB568B4559B7AC54257B672534" descr="廖健淇头像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220470" y="1551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6" name="ID_6CC9BDC92F1045FCAC830843B1763C85" descr="源来凌晨头像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220470" y="150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6" name="ID_042A9AA6863D4347BF071C0505BB7101" descr="阿日头像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220470" y="992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2" name="ID_EFD4636F92FA47B094206FC19E23EC7A" descr="这货不是洋少琪头像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220470" y="789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1" name="ID_814BC76440B1456F839F54E2CD83E197" descr="阿鸡头像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220470" y="738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9" name="ID_AFE0873BF9B74487A9F8728995BDF9E6" descr="小三金头像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220470" y="636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AD37E208650B4CCEB253B1CCAB9E04EA" descr="三喜爷爷头像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220470" y="23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6" name="ID_0BFE4C35106346258B08A377C582C11E" descr="起错名的四毛头像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220470" y="48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5D30AC2FB77E462F933F8BAFB9E4736D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428750" y="2158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EBD2631FCAEC4FDD92F0E226BE26ACCF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428750" y="1904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7" name="ID_B1B5E1DE96534F36AC8A42A1B3B269DA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1428750" y="1720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0" name="ID_C1A2D0C838BA4894A1BB80F9BC752C1C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1428750" y="1313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3" name="ID_326352DD3DBE49E79F67823EC5634466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1428750" y="907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3" name="ID_59B5D26571394E658286ACEEB32111CE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1428750" y="570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29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9" name="ID_F845F0F5143C4371838AA6AAD6CD942F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323975" y="1185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9" name="ID_0526E155DF574DB6A9004725CE255338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1" name="ID_DE7F0F130B1240EDB27E385A5E6BF622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1" name="ID_A470CADDD32A4951BCC6495B4A9B85F5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342390" y="990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5" name="ID_2822CA7DD28E4D9B81A96CD835701EAD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342390" y="177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77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78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179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80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6B4C1FCC817C41339EF9AA4A3AAF6C95" descr="管家小葛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795020" y="2762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83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184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185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5CD421089FC443FC94858D5BE6B5A6DF" descr="葡🍇头像"/>
        <xdr:cNvPicPr>
          <a:picLocks noChangeAspect="1"/>
        </xdr:cNvPicPr>
      </xdr:nvPicPr>
      <xdr:blipFill>
        <a:blip r:embed="rId186" r:link="rId2"/>
        <a:stretch>
          <a:fillRect/>
        </a:stretch>
      </xdr:blipFill>
      <xdr:spPr>
        <a:xfrm>
          <a:off x="375920" y="2795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187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188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189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190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191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192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195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197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4" name="ID_C49163FCBB244525971274056E26C429" descr="嘿人李逵头像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375920" y="217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202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DED44950FB3F4536AFD79051CF630AE4" descr="名摄影小新头像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934720" y="2032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4A52CBE6C67044278DDF916306B282E7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1371600" y="8509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C8BADE3D4A3546AB8BBD2F2D95EF573B" descr="鑫子头像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934720" y="226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4E9F617A8651445EA946708BFC1A02BF" descr="一航头像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AEEC780DC1CA46EAAD088BBC47F54980" descr="一醒头像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0" name="ID_86991555FC7344308253B62CED885C6C" descr="陈饿了么头像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934720" y="3752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9" name="ID_8E3E2032426E4183A7DA49809D180E59" descr="鹿里真茗-头像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934720" y="210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3E277AB27A7E4DD7B9D5CFDBC903509B" descr="花千小骨⁸²¹🕌头像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934720" y="632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2" name="ID_A33162E98C7344E4B5D585C2C8DF7F2D" descr="温在源Aikey头像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352425" y="16383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9E1E2148C84A47D99C534F3F58224D8C" descr="灏忓ぉ鎵嶐煪勨湪澶村儚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352425" y="1682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EC1AAC235172433B86CDEDC2691E72E2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1371600" y="1644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F539646182964FF9871866BC7E0215CC" descr="路人寒星星头像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934720" y="48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FDC8BBE22A3C48C7BED29A4072716614" descr="歪老板在干嘛？头像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353695" y="445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04E62AD2D4DF4BA68792ADF0AF257511" descr="宸濆墽路鍚磋弫鑿佲伒虏鈦封伔馃憫澶村儚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352425" y="12827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EFDCC538D76946D78B7EB98783933944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352425" y="4381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C600F1E9B9CF4B69911956C74DD8409F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352425" y="482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8" name="ID_F8D7BBBAAD5242FB8DFC1B347D79FB61" descr="妖孽夫人头像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934720" y="800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CD0F50CCCD824C92AFDEBB40BF3807E8" descr="李里头像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934720" y="432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0" name="ID_9D4BCA200A3A4EB8A0D73854126E75BE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1162050" y="831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1" name="ID_612738D3F3D7428DA6E4E321C90CFF9C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934720" y="58483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2" name="ID_CACEF98067B14CC18678F828EB22CA1B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934720" y="65151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4" name="ID_1972622F78944F3B80240176D8C71F27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352425" y="5270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3090E4CF6604B89B983FCA4F74AF984" descr="朴素之道头像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1163320" y="1143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4" name="ID_7C3D7E093E3A4B48A95896E13A102E73" descr="懂车老外（非遗学艺版）头像"/>
        <xdr:cNvPicPr>
          <a:picLocks noChangeAspect="1"/>
        </xdr:cNvPicPr>
      </xdr:nvPicPr>
      <xdr:blipFill>
        <a:blip r:embed="rId267" r:link="rId2"/>
        <a:stretch>
          <a:fillRect/>
        </a:stretch>
      </xdr:blipFill>
      <xdr:spPr>
        <a:xfrm>
          <a:off x="934720" y="156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C323F5BB57A04391AC291A22669EE708" descr="爱旅行的奶爸塔姆头像"/>
        <xdr:cNvPicPr>
          <a:picLocks noChangeAspect="1"/>
        </xdr:cNvPicPr>
      </xdr:nvPicPr>
      <xdr:blipFill>
        <a:blip r:embed="rId268" r:link="rId2"/>
        <a:stretch>
          <a:fillRect/>
        </a:stretch>
      </xdr:blipFill>
      <xdr:spPr>
        <a:xfrm>
          <a:off x="934720" y="1625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32FCB513C4484BA09259FA7A453BEE58" descr="安吉AnJ头像"/>
        <xdr:cNvPicPr>
          <a:picLocks noChangeAspect="1"/>
        </xdr:cNvPicPr>
      </xdr:nvPicPr>
      <xdr:blipFill>
        <a:blip r:embed="rId269" r:link="rId2"/>
        <a:stretch>
          <a:fillRect/>
        </a:stretch>
      </xdr:blipFill>
      <xdr:spPr>
        <a:xfrm>
          <a:off x="934720" y="260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3" name="ID_A901C43D8D0844FA863B63A9A0F6D4AF"/>
        <xdr:cNvPicPr>
          <a:picLocks noChangeAspect="1"/>
        </xdr:cNvPicPr>
      </xdr:nvPicPr>
      <xdr:blipFill>
        <a:blip r:embed="rId270" r:link="rId2"/>
        <a:stretch>
          <a:fillRect/>
        </a:stretch>
      </xdr:blipFill>
      <xdr:spPr>
        <a:xfrm>
          <a:off x="1162050" y="444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2FDA320076F14743B85625DCA4F9F685" descr="厂长到处跑头像"/>
        <xdr:cNvPicPr>
          <a:picLocks noChangeAspect="1"/>
        </xdr:cNvPicPr>
      </xdr:nvPicPr>
      <xdr:blipFill>
        <a:blip r:embed="rId271" r:link="rId2"/>
        <a:stretch>
          <a:fillRect/>
        </a:stretch>
      </xdr:blipFill>
      <xdr:spPr>
        <a:xfrm>
          <a:off x="934720" y="1689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91F2DC5D52E6496E824FA789F20CE7C3" descr="钂嬩竴浜筐煔桟AG澶村儚"/>
        <xdr:cNvPicPr>
          <a:picLocks noChangeAspect="1"/>
        </xdr:cNvPicPr>
      </xdr:nvPicPr>
      <xdr:blipFill>
        <a:blip r:embed="rId272" r:link="rId2"/>
        <a:stretch>
          <a:fillRect/>
        </a:stretch>
      </xdr:blipFill>
      <xdr:spPr>
        <a:xfrm>
          <a:off x="934720" y="1879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1E53894226F0447CA4D62FA5B8BA1118" descr="娜扎分渣头像"/>
        <xdr:cNvPicPr>
          <a:picLocks noChangeAspect="1"/>
        </xdr:cNvPicPr>
      </xdr:nvPicPr>
      <xdr:blipFill>
        <a:blip r:embed="rId273" r:link="rId2"/>
        <a:stretch>
          <a:fillRect/>
        </a:stretch>
      </xdr:blipFill>
      <xdr:spPr>
        <a:xfrm>
          <a:off x="934720" y="451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35BFC68506EF43D0A564EDF289FF4152" descr="大圣爱跑步头像"/>
        <xdr:cNvPicPr>
          <a:picLocks noChangeAspect="1"/>
        </xdr:cNvPicPr>
      </xdr:nvPicPr>
      <xdr:blipFill>
        <a:blip r:embed="rId274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BCE1C6425E52446DACE7B65FDEC49E0F"/>
        <xdr:cNvPicPr>
          <a:picLocks noChangeAspect="1"/>
        </xdr:cNvPicPr>
      </xdr:nvPicPr>
      <xdr:blipFill>
        <a:blip r:embed="rId275" r:link="rId2"/>
        <a:stretch>
          <a:fillRect/>
        </a:stretch>
      </xdr:blipFill>
      <xdr:spPr>
        <a:xfrm>
          <a:off x="352425" y="1714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5767A78C5061489A86E64A0AA201684F"/>
        <xdr:cNvPicPr>
          <a:picLocks noChangeAspect="1"/>
        </xdr:cNvPicPr>
      </xdr:nvPicPr>
      <xdr:blipFill>
        <a:blip r:embed="rId276" r:link="rId2"/>
        <a:stretch>
          <a:fillRect/>
        </a:stretch>
      </xdr:blipFill>
      <xdr:spPr>
        <a:xfrm>
          <a:off x="1162050" y="9842500"/>
          <a:ext cx="1143000" cy="11430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<sst xmlns="http://schemas.openxmlformats.org/spreadsheetml/2006/main" count="2807" uniqueCount="1875">
  <si>
    <t>成都OST传媒——2025年12月刊例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</si>
  <si>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</si>
  <si>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</si>
  <si>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</si>
  <si>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</si>
  <si>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</si>
  <si>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</si>
  <si>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</si>
  <si>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</si>
  <si>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</si>
  <si>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</si>
  <si>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</si>
  <si>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</si>
  <si>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</si>
  <si>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</si>
  <si>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</si>
  <si>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</si>
  <si>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</si>
  <si>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</si>
  <si>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</si>
  <si>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</si>
  <si>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</si>
  <si>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</si>
  <si>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</si>
  <si>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</si>
  <si>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</si>
  <si>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</si>
  <si>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</si>
  <si>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</si>
  <si>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</si>
  <si>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</si>
  <si>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</si>
  <si>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</si>
  <si>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</si>
  <si>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</si>
  <si>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</si>
  <si>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</si>
  <si>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</si>
  <si>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</si>
  <si>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/</t>
  </si>
  <si>
    <t>男：73.2%
女：26.8%</t>
  </si>
  <si>
    <t>18-23：57.7%
24-30：28.6%
31-40：8.6%</t>
  </si>
  <si>
    <t>Z世代：45.6%
新锐白领：18.9%
小镇青年：19.7%
精致妈妈：1.3%
资深中产：0.9%
都市蓝领：12.1%
小镇中老年：0.8%
都市银发：0.7%</t>
  </si>
  <si>
    <t>成都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</si>
  <si>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</si>
  <si>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</si>
  <si>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</si>
  <si>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</si>
  <si>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</si>
  <si>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</si>
  <si>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</si>
  <si>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</si>
  <si>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：28.4%
女 ：71.6%</t>
  </si>
  <si>
    <t>18-23：37.8%
24-30：30.9%
31-40：21%</t>
  </si>
  <si>
    <t>Z世代：29.1%
新锐白领：14.3%
小镇青年：21.1%
精致妈妈：9.2%
资深中产：1.7%
都市蓝领：18%
小镇中老年：3.3%
都市银发：3.4%</t>
  </si>
  <si>
    <t>京东超市、广汽埃安、劲仔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</si>
  <si>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</si>
  <si>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</si>
  <si>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</si>
  <si>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</si>
  <si>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</si>
  <si>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</si>
  <si>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</si>
  <si>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男：87.7%
女：12.3%</t>
  </si>
  <si>
    <t>18-23：44.2%
24-30：37.8%
31-40：15%</t>
  </si>
  <si>
    <t>Z世代：28.6%
新锐白领：23.4%
小镇青年：25%
精致妈妈：0.9%
资深中产：1.2%
都市蓝领：19.2%
小镇中老年：1%
都市银发：0.6%</t>
  </si>
  <si>
    <t>茶π、劲酒、优酸乳、美团、阿维塔、马爹利、华为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</si>
  <si>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</si>
  <si>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</si>
  <si>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</si>
  <si>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</si>
  <si>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</si>
  <si>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</si>
  <si>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</si>
  <si>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</si>
  <si>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</si>
  <si>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男：61.5%
女：38.5%</t>
  </si>
  <si>
    <t>18-23：17.2%
24-30：31.1%
31-40：38%</t>
  </si>
  <si>
    <t>Z世代：14.7%
新锐白领：14.9%
小镇青年：27%
精致妈妈：4.1%
资深中产：3.3%
都市蓝领：24.6%
小镇中老年：6.1%
都市银发：5.4%</t>
  </si>
  <si>
    <t>五菱，IQOO，方太、梦幻西游、小米、伊利、三国杀、OPPO、铜师傅、荣耀、智己</t>
  </si>
  <si>
    <t>朱铁雄片场日志</t>
  </si>
  <si>
    <t>揭秘国风变装天花板的幕后。聚焦百万级特效制作、非遗技艺融合等创作细节，展现团队极致匠心。依托主账号粉丝影响力，粉丝粘性强，适配国货、文创、文旅等品类，深度传递品牌价值。</t>
  </si>
  <si>
    <t>剧情、日常</t>
  </si>
  <si>
    <t>https://v.douyin.com/P9i7l467NEs/</t>
  </si>
  <si>
    <t>https://www.xingtu.cn/ad/creator/author-homepage/douyin-video/7568817054545412146?market_track_id=98IZH98452SRN4JC5R92&amp;search_session_id=7569069326943715391&amp;possessStarId</t>
  </si>
  <si>
    <t>7568817054545412146</t>
  </si>
  <si>
    <t>男：55%
女：45%</t>
  </si>
  <si>
    <t>18-23：20%
24-30：30%
31-40：35%</t>
  </si>
  <si>
    <t>Z世代：21%
新锐白领：16.5%
小镇青年：23%
精致妈妈：6.5%
资深中产：4%
都市蓝领：19%
小镇中老年：4.5%
都市银发：3%</t>
  </si>
  <si>
    <t>【剧情】</t>
  </si>
  <si>
    <t>热门
账号</t>
  </si>
  <si>
    <t>路人寒星星</t>
  </si>
  <si>
    <t>抖音千万级娱乐达人。以搞怪搞笑段子吸粉，风格独特，互动性强，平均点赞30.3万，集均评论1.1万。擅长将广告创意融入日常，用幽默方式传递品牌价值，助力品牌高效触达年轻群体，实现品效合一。</t>
  </si>
  <si>
    <t>090401xx</t>
  </si>
  <si>
    <t>剧情搞笑</t>
  </si>
  <si>
    <t>https://v.douyin.com/H7lCQCl2gF4/</t>
  </si>
  <si>
    <t>https://www.xingtu.cn/ad/creator/author-homepage/douyin-video/6699318218474913804?market_track_id=UMCDEZE1JFMA2YLW7LSG&amp;search_session_id=7563966209005060150&amp;possessStarId</t>
  </si>
  <si>
    <t>6699318218474913804</t>
  </si>
  <si>
    <t>小红书</t>
  </si>
  <si>
    <t>男：89.6%
女：10.4%</t>
  </si>
  <si>
    <t>18-23：40.7%
24-30：34%
31-40：19.6%</t>
  </si>
  <si>
    <t>Z世代：29.3%
新锐白领：15.8%
小镇青年：23.8%
精致妈妈：1%
资深中产：1.6%
都市蓝领：25.2%
小镇中老年：1.9%
都市银发：1.4%</t>
  </si>
  <si>
    <t>河南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</si>
  <si>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</si>
  <si>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</si>
  <si>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</si>
  <si>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</si>
  <si>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</si>
  <si>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</si>
  <si>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</si>
  <si>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视频号 微博</t>
  </si>
  <si>
    <t>女 ：39.7%  
男 ：60.3%</t>
  </si>
  <si>
    <t>18-23：22.2%
24-30：29%
31-40：30.4%</t>
  </si>
  <si>
    <t>Z世代：17.8%
新锐白领：5%
小镇青年：24.5%
精致妈妈：1.5%
资深中产：1.1%
都市蓝领：31.7%
小镇中老年：8.5%
都市银发：9.9%</t>
  </si>
  <si>
    <t>YSL、TF、飞利浦、雅诗兰黛、百力滋、迪奥、华为、MAC、卡姿兰、七度空间、奔腾、零跑、岚图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</si>
  <si>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</si>
  <si>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</si>
  <si>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</si>
  <si>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</si>
  <si>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</si>
  <si>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</si>
  <si>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男：17%
女：83%</t>
  </si>
  <si>
    <t>18-23：59.9%
24-30：20.4%
31-40：10.6%</t>
  </si>
  <si>
    <t>Z世代：52.1%
新锐白领：7.5%
小镇青年：24.4%
精致妈妈：2.8%
资深中产：0.8%
都市蓝领：9.7%
小镇中老年：1.6%
都市银发：1.2%</t>
  </si>
  <si>
    <t>SK2、OLAY、HBN、妮维雅、飞科、雅诗兰黛、珀莱雅、安慕希、徕芬、立白、祖玛珑、比亚迪、smart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</si>
  <si>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</si>
  <si>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</si>
  <si>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</si>
  <si>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</si>
  <si>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</si>
  <si>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</si>
  <si>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</si>
  <si>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男：10.9%
女：89.1%</t>
  </si>
  <si>
    <t>18-23：38.5%
24-30：29.4%
31-40：25.3%</t>
  </si>
  <si>
    <t>Z世代：32.1%
新锐白领：13.5%
小镇青年：23.8%
精致妈妈：9.8%
资深中产：2.6%
都市蓝领：14.5%
小镇中老年：2.3%
都市银发：1.5%</t>
  </si>
  <si>
    <t>Dior、YSL、科颜氏、自然堂、祖玛珑、追觅、徕芬、康师傅 、吉列、沪上阿姨、敷尔佳、韩束、珀莱雅、雪佛兰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</si>
  <si>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</si>
  <si>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</si>
  <si>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</si>
  <si>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</si>
  <si>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</si>
  <si>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</si>
  <si>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</si>
  <si>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视频号</t>
  </si>
  <si>
    <t>女 ：35.4%  
男 ：64.6%</t>
  </si>
  <si>
    <t>18-23：50.6%
24-30：25.7%
31-40：16.3%</t>
  </si>
  <si>
    <t>Z世代：42.3%
新锐白领：11.9%
小镇青年：24.7%
精致妈妈：1.7%
资深中产：1.4%
都市蓝领：14.9%
小镇中老年：1.8%
都市银发：1.4%</t>
  </si>
  <si>
    <t>华为、阿维塔、三九、松下、新倩女幽魂、施华寇、7喜、纯果乐、美团、吉列、RIO、SKII、OPPO、问界、零跑</t>
  </si>
  <si>
    <t>新晋
账号</t>
  </si>
  <si>
    <t>妖孽夫人</t>
  </si>
  <si>
    <t>深耕手工影视装造与短剧领域，《我的手工衣橱》合集播放量达2.1亿，黛玉大婚服等作品获百万点赞。兼具服设、表演等多才艺，粉丝粘性强，适配美妆、服饰、文创等品类，创意植入助力品牌破圈。</t>
  </si>
  <si>
    <t>xy620520</t>
  </si>
  <si>
    <t>剧情</t>
  </si>
  <si>
    <t>https://v.douyin.com/-b2XUM3O2qk/</t>
  </si>
  <si>
    <t>https://www.xingtu.cn/ad/creator/author-homepage/douyin-video/6881097634480652296?market_track_id=VTJM4Z9RTPETU9VQST4G&amp;search_session_id=7569060253904846889&amp;possessStarId</t>
  </si>
  <si>
    <t>6881097634480652296</t>
  </si>
  <si>
    <t>B站 小红书</t>
  </si>
  <si>
    <t>男：18.4%
女：81.6%</t>
  </si>
  <si>
    <t>18-23：16.2%
24-30：20.1%
31-40：53.9%</t>
  </si>
  <si>
    <t>Z世代：18.5%
新锐白领：8.9%
小镇青年：39.3%
精致妈妈：13.5%
资深中产：3.7%
都市蓝领：9%
小镇中老年：3.6%
都市银发：3.4%</t>
  </si>
  <si>
    <t>凌博士、肌肤未来、优时颜、稀物集</t>
  </si>
  <si>
    <t>浙江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</si>
  <si>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</si>
  <si>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</si>
  <si>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</si>
  <si>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</si>
  <si>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</si>
  <si>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男：34.2%
女：65.8%</t>
  </si>
  <si>
    <t>18-23：48.4%
24-30：21.1%
31-40：15.9%</t>
  </si>
  <si>
    <t>Z世代：40.4%
新锐白领：9.8%
小镇青年：24.8%
精致妈妈：3.9%
资深中产：1.8%
都市蓝领：11.8%
小镇中老年：3.7%
都市银发：3.7%</t>
  </si>
  <si>
    <t>欧莱雅、阿维塔、深蓝、追觅、趣多多、麦当劳、君乐宝、安慕希、华为、松下、天猫、海尔、支付宝、兰蔻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</si>
  <si>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</si>
  <si>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</si>
  <si>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</si>
  <si>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</si>
  <si>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</si>
  <si>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</si>
  <si>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</si>
  <si>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</si>
  <si>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男：24.6%
女：75.4%</t>
  </si>
  <si>
    <t>18-23：38.7%
24-30：22.9%
31-40：25.2%</t>
  </si>
  <si>
    <t>Z世代：38.3%
新锐白领：7.4%
小镇青年：26.8%
精致妈妈：4.8%
资深中产：1.7%
都市蓝领：14%
小镇中老年：3.6%
都市银发：3.3%</t>
  </si>
  <si>
    <t>得物、DR、美的、海尔、支付宝、淘淘氧棉、Ulike、高洁丝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</si>
  <si>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</si>
  <si>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</si>
  <si>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</si>
  <si>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</si>
  <si>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</si>
  <si>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</si>
  <si>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</si>
  <si>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</si>
  <si>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男：43.3%
女：56.7%</t>
  </si>
  <si>
    <t>18-23：57.6%
24-30：21%
31-40：14%</t>
  </si>
  <si>
    <t>Z世代：45.8%
新锐白领：7%
小镇青年：25.9%
精致妈妈：1.9%
资深中产：1.1%
都市蓝领：14.9%
小镇中老年：1.8%
都市银发：1.6%</t>
  </si>
  <si>
    <t>olay 、唯品会、自然堂、君乐宝、外星人饮料、红米、欧莱雅、索尼、舒莱、别克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</si>
  <si>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</si>
  <si>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</si>
  <si>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</si>
  <si>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</si>
  <si>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</si>
  <si>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</si>
  <si>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</si>
  <si>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男：22.8%
女：77.2%</t>
  </si>
  <si>
    <t>18-23：54.1%
24-30：23.5%
31-40：15%</t>
  </si>
  <si>
    <t>Z世代：42.8%
新锐白领：12.1%
小镇青年：23.6%
精致妈妈：4.8%
资深中产：1.5%
都市蓝领：11.8%
小镇中老年：2%
都市银发：1.5%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</si>
  <si>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</si>
  <si>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</si>
  <si>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</si>
  <si>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</si>
  <si>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</si>
  <si>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</si>
  <si>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</si>
  <si>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男：36.9%
女：63.1%</t>
  </si>
  <si>
    <t>18-23：39.6%
24-30：24%
31-40：21.8%</t>
  </si>
  <si>
    <t>Z世代：35.4%
新锐白领：9.3%
小镇青年：24.9%
精致妈妈：3.6%
资深中产：2.3%
都市蓝领：17%
小镇中老年：3.9%
都市银发：3.6%</t>
  </si>
  <si>
    <t>7喜、乌苏啤酒、太太乐、世友地板、娃哈哈、凌渡L、TATA木门、康师傅、起亚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</si>
  <si>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</si>
  <si>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</si>
  <si>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</si>
  <si>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</si>
  <si>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</si>
  <si>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</si>
  <si>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</si>
  <si>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男：42.9%
女：57.1%</t>
  </si>
  <si>
    <t>18-23：16.1%
24-30：23.1%
31-40：34.8%</t>
  </si>
  <si>
    <t>Z世代：16.4%
新锐白领：12.2%
小镇青年：21%
精致妈妈：10.2%
资深中产：3.6%
都市蓝领：17.6%
小镇中老年：9.1%
都市银发：9.9%</t>
  </si>
  <si>
    <t>美素佳儿、完达山、爱他美、蒙牛、长安欧尚、松下、荣威、极狐、法优乐、岚图</t>
  </si>
  <si>
    <t>【创意广告】</t>
  </si>
  <si>
    <t>TVC
创意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</si>
  <si>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</si>
  <si>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</si>
  <si>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</si>
  <si>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</si>
  <si>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</si>
  <si>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</si>
  <si>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</si>
  <si>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男：49.5%
女：50.5%</t>
  </si>
  <si>
    <t>18-23：30.2%
31-40：26.2%
41-50：24.2%</t>
  </si>
  <si>
    <t>Z世代：30.5%
新锐白领：17.2%
小镇青年：21.2%
精致妈妈：3.3%
资深中产：2.6%
都市蓝领：14.8%
小镇中老年：4.9%
都市银发：5.5%</t>
  </si>
  <si>
    <t>零跑、阿维塔、红旗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</si>
  <si>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</si>
  <si>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</si>
  <si>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</si>
  <si>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</si>
  <si>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</si>
  <si>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</si>
  <si>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</si>
  <si>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</si>
  <si>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</si>
  <si>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男：90.1%
女：9.9%</t>
  </si>
  <si>
    <t>18-23：22.8%
24-30：34.8%
31-40：28.8%</t>
  </si>
  <si>
    <t>Z世代：14.2%
新锐白领：25.5%
小镇青年：22.8%
精致妈妈：0.7%
资深中产：2.8%
都市蓝领：23.2%
小镇中老年：5.5%
都市银发：5.5%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</si>
  <si>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</si>
  <si>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</si>
  <si>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</si>
  <si>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</si>
  <si>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</si>
  <si>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</si>
  <si>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</si>
  <si>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：93.9%
女 ：6.1%</t>
  </si>
  <si>
    <t>18-23：51.4%
24-30：33.8%
31-40：11.2%</t>
  </si>
  <si>
    <t>Z世代：31.2%
新锐白领：26.1%
小镇青年：21.9%
精致妈妈：0.4%
资深中产：0.9%
都市蓝领：17.1%
小镇中老年：1.2%
都市银发：1.2%</t>
  </si>
  <si>
    <t>日产、魏牌蓝山、上汽大众、坦克、腾势、阿维塔、一汽奔腾、奇瑞、零跑、长安、小米、</t>
  </si>
  <si>
    <t>懂车老外（非遗学艺版）</t>
  </si>
  <si>
    <t>以“汽车专业+非遗文化”跨界破圈，老外视角自带话题感，非遗场景强化内容质感与记忆点。精准触达年轻汽车兴趣群体，将车辆性能融入传统技艺体验，实现专业种草与文化共鸣双重效果。内容兼具传播力与转化力，适配汽车及相关品牌星图投放，助力品牌破圈增效。</t>
  </si>
  <si>
    <t>Auto_KDK</t>
  </si>
  <si>
    <t>汽车、非遗</t>
  </si>
  <si>
    <t>https://v.douyin.com/Fo6zCYRvpPA/</t>
  </si>
  <si>
    <t>https://www.xingtu.cn/ad/creator/author-homepage/douyin-video/7381766949996331017?market_track_id=NEDQY0AMQQDYQN41G8CM&amp;search_session_id=7572463486438735878&amp;possessStarId</t>
  </si>
  <si>
    <t>7381766949996331017</t>
  </si>
  <si>
    <t>视频号、懂车帝、易车、头条</t>
  </si>
  <si>
    <t>男：57.7%
女：42.3%</t>
  </si>
  <si>
    <t>31-40：26.6%
41-50：16.8%
50+：28.3%</t>
  </si>
  <si>
    <t>Z世代：23.6%
新锐白领：10.5%
小镇青年：16.2%
精致妈妈：2.8%
资深中产：5.7%
都市蓝领：11.9%
小镇中老年：13%
都市银发：16.3%</t>
  </si>
  <si>
    <t>深圳/惠州</t>
  </si>
  <si>
    <t>爱旅行的奶爸塔姆</t>
  </si>
  <si>
    <t xml:space="preserve">以“混血奶爸+亲子露营”为核心标签，300天在路上的真实旅途场景极具代入感。内容聚焦亲子出行、户外装备等垂直领域，粉丝精准覆盖年轻家庭群体，原生种草自然不生硬。兼具旅行的趣味性与育儿的情感共鸣，转化力强，适配汽车、户外、母婴等多品类星图广告投放，助力品牌高效触达目标客群。
</t>
  </si>
  <si>
    <t>Road_Tahm</t>
  </si>
  <si>
    <t>汽车、旅行</t>
  </si>
  <si>
    <t>https://v.douyin.com/_FIjdu3XHpI/</t>
  </si>
  <si>
    <t>https://www.xingtu.cn/ad/creator/author-homepage/douyin-video/7515706747558821914?market_track_id=V0L18ORLB0HFDNBMGWSO&amp;search_session_id=7572463472073343017&amp;possessStarId</t>
  </si>
  <si>
    <t>7515706747558821914</t>
  </si>
  <si>
    <t>视频号、懂车帝、头条</t>
  </si>
  <si>
    <t>男 ：70.9%
女 ：29.1%</t>
  </si>
  <si>
    <t>18-23：13.1%
24-30：24%
31-40：26.9%</t>
  </si>
  <si>
    <t>Z世代：10.1%
新锐白领：22.7%
小镇青年：15.6%
精致妈妈：1.7%
资深中产：4.5%
都市蓝领：16.7%
小镇中老年：13.9%
都市银发：14.9%</t>
  </si>
  <si>
    <t>厂长到处跑</t>
  </si>
  <si>
    <t>聚焦汽车行业，以工厂探访、行业揭秘、专业测评为核心内容，兼具行业深度与趣味性。依托真实制造业背景，内容专业可信，粉丝精准覆盖汽车爱好者、从业者及潜在消费者。广告植入自然原生，适配汽车、零部件、工具、养护品等品类，星图投放转化高效，助力品牌精准触达垂直受众。</t>
  </si>
  <si>
    <t>Auto_Diary</t>
  </si>
  <si>
    <t>汽车</t>
  </si>
  <si>
    <t>https://v.douyin.com/0QUqPDyOiYI/</t>
  </si>
  <si>
    <t>https://www.xingtu.cn/ad/creator/author-homepage/douyin-video/7547976599398318089?market_track_id=R5DZ8YSWRGDLDFHSKGHK&amp;search_session_id=7572463525462655039&amp;possessStarId</t>
  </si>
  <si>
    <t>7547976599398318089</t>
  </si>
  <si>
    <t>视频号、懂车帝、小红书、微博</t>
  </si>
  <si>
    <t>男 ：57.7%
女 ：42.3%</t>
  </si>
  <si>
    <t>24-30：16.6%
31-40：36.6%
50+：23.1%</t>
  </si>
  <si>
    <t>Z世代：23.6%
新锐白领：16.8%
小镇青年：17%
精致妈妈：2.2%
资深中产：7.3%
都市蓝领：16.9%
小镇中老年：7.1%
都市银发：9.1%</t>
  </si>
  <si>
    <t>广东惠州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</si>
  <si>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</si>
  <si>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</si>
  <si>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</si>
  <si>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</si>
  <si>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</si>
  <si>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</si>
  <si>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</si>
  <si>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男：84.2%
女：15.8%</t>
  </si>
  <si>
    <t>18-23：19.9%
24-30：30.5%
31-40：24.3%</t>
  </si>
  <si>
    <t>Z世代：12.3%
新锐白领：24.4%
小镇青年：20.8%
精致妈妈：0.5%
资深中产：2.5%
都市蓝领：16.8%
小镇中老年：10.2%
都市银发：12.5%</t>
  </si>
  <si>
    <t>奥迪、东风奕派、吉利帝豪、东风日产、领克、传祺、东风风行、阿维塔、思域、奇瑞、奔腾、吉利银河、岚图、福特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</si>
  <si>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</si>
  <si>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</si>
  <si>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</si>
  <si>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</si>
  <si>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</si>
  <si>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</si>
  <si>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：93.6%
女 ：6.4%</t>
  </si>
  <si>
    <t>18-23：15.5%
24-30：38%
31-40：40.2%</t>
  </si>
  <si>
    <t>Z世代：8.6%
新锐白领：45.1%
小镇青年：18.8%
精致妈妈：0.9%
资深中产：6.9%
都市蓝领：16.5%
小镇中老年：1.9%
都市银发：1.2%</t>
  </si>
  <si>
    <t>泸州老窖、大众、腾势、东风日产、长安深蓝、阿维塔、传祺、广汽昊铂、东风风神、方程豹、奔腾、岚图</t>
  </si>
  <si>
    <t>蒋一亿🚗CAG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</si>
  <si>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</si>
  <si>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</si>
  <si>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</si>
  <si>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</si>
  <si>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</si>
  <si>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</si>
  <si>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：90.7%
女 ：9.3%</t>
  </si>
  <si>
    <t>18-23：34.7%
24-30：35.7%
31-40：25%</t>
  </si>
  <si>
    <t>z世代：25.9%
小镇青年：21.3%
精致妈妈：0.7%
新锐白领：30.8%
都市蓝领：16.4%
小镇中老年：1.3%
资深中产：2.8%
都市银发：0.9%</t>
  </si>
  <si>
    <t>东风日产、长安深蓝、瓜子二手车、icar、阿维塔、岚图、起亚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</si>
  <si>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</si>
  <si>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</si>
  <si>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</si>
  <si>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</si>
  <si>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</si>
  <si>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</si>
  <si>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</si>
  <si>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：91.8%
女 ：8.2%</t>
  </si>
  <si>
    <t>18-23：23.4%
24-30：34.9%
31-40：30%</t>
  </si>
  <si>
    <t>Z世代：15.7%
新锐白领：25.5%
小镇青年：22.5%
精致妈妈：0.7%
资深中产：3.7%
都市蓝领：24%
小镇中老年：3.4%
都市银发：4.4%</t>
  </si>
  <si>
    <t>CAG女团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</si>
  <si>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</si>
  <si>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</si>
  <si>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</si>
  <si>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</si>
  <si>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</si>
  <si>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：76.7%
女 ：23.3%</t>
  </si>
  <si>
    <t>18-23：16.8%
24-30：29.5%
31-40：38.2%</t>
  </si>
  <si>
    <t>z世代：10.3%
小镇青年：23.2%
精致妈妈：3.4%
新锐白领：27.7%
都市蓝领：18.3%
小镇中老年：7%
资深中产：5.4%
都市银发：4.7%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</si>
  <si>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</si>
  <si>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</si>
  <si>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</si>
  <si>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</si>
  <si>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</si>
  <si>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</si>
  <si>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男：94.1%
女：5.9%</t>
  </si>
  <si>
    <t>18-23：26.5%
24-30：34.1%
31-40：32.3%</t>
  </si>
  <si>
    <t>Z世代：16.6%
新锐白领：28.7%
小镇青年：25%
精致妈妈：1%
资深中产：4.3%
都市蓝领：20.2%
小镇中老年：2.6%
都市银发：1.5%</t>
  </si>
  <si>
    <t>吉利帝豪、长城、五菱缤果</t>
  </si>
  <si>
    <t>【变装/COS】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</si>
  <si>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"/>
        <charset val="134"/>
      </rPr>
      <t>❤</t>
    </r>
  </si>
  <si>
    <t>深耕颜值与二次元领域，拥三百万+粉丝，作品平均点赞9.9万、分享1.5万。锡剧专业加持，汉服与日常内容兼具特色，精准触达兴趣用户。四月营销黄金期，可定制创意内容，助力品牌高效破圈、提升转化。</t>
  </si>
  <si>
    <t>颜值、古风变装</t>
  </si>
  <si>
    <t>https://v.douyin.com/91XqThN95LU/</t>
  </si>
  <si>
    <t>https://www.xingtu.cn/ad/creator/author-homepage/douyin-video/6596679736393465860?market_track_id=APBR2FCN2QFQPX0QSDB3&amp;search_session_id=7565742280636989503&amp;possessStarId</t>
  </si>
  <si>
    <t>6596679736393465860</t>
  </si>
  <si>
    <t>小红书 视频号</t>
  </si>
  <si>
    <t>男：34%
女：66%</t>
  </si>
  <si>
    <t>18-23：35%
24-30：42.4%
31-40：18.9%</t>
  </si>
  <si>
    <t>Z世代：18.4%
新锐白领：27.7%
小镇青年：21.9%
精致妈妈：9.4%
资深中产：2.3%
都市蓝领：17.9%
小镇中老年：1.4%
都市银发：1%</t>
  </si>
  <si>
    <t>南京</t>
  </si>
  <si>
    <t>超不可爱小朋友</t>
  </si>
  <si>
    <t>古风高颜值，擅长古风变装，内容质量高，女粉占比76.4%，美妆游戏汽车品牌等适配度高</t>
  </si>
  <si>
    <t>NiCCCCCe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</si>
  <si>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</si>
  <si>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</si>
  <si>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</si>
  <si>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男：29.6%   
女：70.4%</t>
  </si>
  <si>
    <t>18-23：37.1%
24-30：28.1%
31-40：22.5%</t>
  </si>
  <si>
    <t>Z世代：27.4%
新锐白领：17.8%
小镇青年：22.1%
精致妈妈：7.7%
资深中产：4.1%
都市蓝领：13.1%
小镇中老年：4.6%
都市银发：3.3%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</si>
  <si>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</si>
  <si>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</si>
  <si>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</si>
  <si>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</si>
  <si>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</si>
  <si>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</si>
  <si>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</si>
  <si>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</si>
  <si>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男：67%
女：33%</t>
  </si>
  <si>
    <t>18-23：72.6%
31-40：15.1%
31-40：5.7%</t>
  </si>
  <si>
    <t>Z世代：55.8%
新锐白领：6.6%
小镇青年：24.5%
精致妈妈：0.7%
资深中产：0.7%
都市蓝领：9.2%
小镇中老年：1.3%
都市银发：1.2%</t>
  </si>
  <si>
    <t>永劫无间、乌苏白啤、燕云十六声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</si>
  <si>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</si>
  <si>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</si>
  <si>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</si>
  <si>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</si>
  <si>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</si>
  <si>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</si>
  <si>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男：22.9%
女：77.1%</t>
  </si>
  <si>
    <t>18-23：41%
24-30：16.2%
31-40：19.8%</t>
  </si>
  <si>
    <t>Z世代：47.2%
新锐白领：7.2%
小镇青年：23.4%
精致妈妈：1.8%
资深中产：2.1%
都市蓝领：9.5%
小镇中老年：4.7%
都市银发：4.2%</t>
  </si>
  <si>
    <t>毛戈平、可口可乐、玄中记、世界之外、江南百景图原神、阴阳师、梦幻西游、饿了么、香飘飘</t>
  </si>
  <si>
    <t>重庆</t>
  </si>
  <si>
    <t>鹿里真茗🦌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</si>
  <si>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</si>
  <si>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</si>
  <si>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</si>
  <si>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</si>
  <si>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</si>
  <si>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男：10.2%
女：89.8%</t>
  </si>
  <si>
    <t>18-23：60.9%
24-30：26.9%
31-40：7%</t>
  </si>
  <si>
    <t>Z世代：40.6%
新锐白领：15.1%
小镇青年：24%
精致妈妈：3.7%
资深中产：0.8%
都市蓝领：13%
小镇中老年：1.5%
都市银发：1.3%</t>
  </si>
  <si>
    <t>天猫精灵、倩女幽魂、盛世芳华手游、谷雨、支付宝、茶百道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</si>
  <si>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</si>
  <si>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</si>
  <si>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</si>
  <si>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</si>
  <si>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</si>
  <si>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</si>
  <si>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</si>
  <si>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</si>
  <si>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男：45.7%
女：54.3%</t>
  </si>
  <si>
    <t>18-23：53.9%
24-30：21.9%
31-40：12.4%</t>
  </si>
  <si>
    <t>Z世代：47.6%
新锐白领：12.5%
小镇青年：20.6%
精致妈妈：2%
资深中产：1.4%
都市蓝领：10.9%
小镇中老年：2.4%
都市银发：2.5%</t>
  </si>
  <si>
    <t>斗罗大陆、第五人格、寻道大千、益禾堂、霸王茶姬、oppo</t>
  </si>
  <si>
    <t>安吉AnJ</t>
  </si>
  <si>
    <t>深耕cos与特效变装领域，擅长还原动漫、影视、游戏等多类IP角色，妆造精细、角色适配度拉满。同时融合创意特效变装，通过炫酷技术打破次元壁，带来沉浸式视觉体验。</t>
  </si>
  <si>
    <t>COS 变装 特效</t>
  </si>
  <si>
    <t>https://v.douyin.com/wY5EbAVpuV8/</t>
  </si>
  <si>
    <t>https://www.xingtu.cn/ad/creator/author-homepage/douyin-video/7488315869542481958?market_track_id=GN4C1YMKB8J6X9QKJHNN&amp;search_session_id=7576565643592663094&amp;possessStarId</t>
  </si>
  <si>
    <t>7488315869542481958</t>
  </si>
  <si>
    <t>小红书 视频号 B站</t>
  </si>
  <si>
    <t>男：43%
女：57%</t>
  </si>
  <si>
    <t>18-23：57%
24-30：22%
31-40：12%</t>
  </si>
  <si>
    <t>武汉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</si>
  <si>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</si>
  <si>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</si>
  <si>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</si>
  <si>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</si>
  <si>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</si>
  <si>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</si>
  <si>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</si>
  <si>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：11.6%  
男 ：88.4%</t>
  </si>
  <si>
    <t>18-23：44.8%
24-30：26.9%
31-40：21.2%</t>
  </si>
  <si>
    <t>Z世代：35.9%
新锐白领：13.9%
小镇青年：25.3%
精致妈妈：1%
资深中产：2.1%
都市蓝领：18.2%
小镇中老年：2%
都市银发：1.5%</t>
  </si>
  <si>
    <t>得物，捷途、芬达、奇骏、岚图、OPPO、三星、五菱、魏牌蓝山、极狐、零跑、领克、东风本田、沱牌舍得、北汽、坦克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</si>
  <si>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</si>
  <si>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</si>
  <si>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</si>
  <si>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</si>
  <si>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</si>
  <si>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</si>
  <si>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</si>
  <si>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男：69.6%
女：30.4%</t>
  </si>
  <si>
    <t>18-23：46.5%
24-30：31.5%
31-40：14.2%</t>
  </si>
  <si>
    <t>Z世代：36.5%
新锐白领：13.9%
小镇青年：24.9%
精致妈妈：1.9%
资深中产：1.2%
都市蓝领：17.2%
小镇中老年：2.6%
都市银发：1.9%</t>
  </si>
  <si>
    <t>比亚迪、阿维塔、滴滴、康师傅、长安、原神、零跑汽车、大众、阿尔卑斯、安慕希、岚图、云上草原</t>
  </si>
  <si>
    <t>鑫子</t>
  </si>
  <si>
    <t>抖音摄影领域达人，专注广角、胶片摄影，作品点赞超351万。擅长用独特视角捕捉精彩瞬间，为品牌打造极具视觉冲击力的广告内容，助力品牌高效传播，实现品效合一。</t>
  </si>
  <si>
    <t>xinzi123</t>
  </si>
  <si>
    <t>摄影 日常</t>
  </si>
  <si>
    <t>https://v.douyin.com/8X9N7CXaq1E/</t>
  </si>
  <si>
    <t>https://www.xingtu.cn/ad/creator/author-homepage/douyin-video/7187348189282828322?market_track_id=R423INSAAL9SF4RUDHTZ&amp;search_session_id=7553117274304331812&amp;possessStarId</t>
  </si>
  <si>
    <t>7187348189282828322</t>
  </si>
  <si>
    <t>视频号 快手 小红书</t>
  </si>
  <si>
    <t>女 ：69.5%  
男 ：30.5%</t>
  </si>
  <si>
    <t>18-23：63.5%
24-30：13.9%
31-40：10%</t>
  </si>
  <si>
    <t>Z世代：59%
新锐白领：5.4%
小镇青年：24.3%
精致妈妈：1.2%
资深中产：0.8%
都市蓝领：6.7%
小镇中老年：1.4%
都市银发：1.3%</t>
  </si>
  <si>
    <t>尼康、古茗、mistine、柳丝木、汽水音乐节、霸王丝</t>
  </si>
  <si>
    <t>周星辰_</t>
  </si>
  <si>
    <t>集摄影、旅游、穿搭、才艺于一身的综合型博主，横跨文化艺术、娱乐、时尚、旅游等领域，可与旅游、摄影器材、时尚服装、娱乐传媒等行业达成多元合作，解锁无限可能。</t>
  </si>
  <si>
    <t>摄影 日常 vlog 旅行</t>
  </si>
  <si>
    <t>https://v.douyin.com/iMskdSfA/</t>
  </si>
  <si>
    <t>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</si>
  <si>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7317865186126217267</t>
  </si>
  <si>
    <t>男：43.1%
女：56.9%</t>
  </si>
  <si>
    <t>24-30：15.6%
31-40：31.7%
50+：34.7</t>
  </si>
  <si>
    <t>Z世代：17%
新锐白领：18.2%
小镇青年：25.9%
精致妈妈：0.9%
资深中产：1.8%
都市蓝领：23.5%
小镇中老年：7.3%
都市银发：5.6%</t>
  </si>
  <si>
    <t>荣耀、三星、极氪、领克、波司登、CK、阿玛尼、重庆啤酒、百事可乐、吉利银河、华为、捷途</t>
  </si>
  <si>
    <t>名摄影小新</t>
  </si>
  <si>
    <r>
      <rPr>
        <sz val="9"/>
        <color rgb="FF08090C"/>
        <rFont val="微软雅黑"/>
        <charset val="134"/>
      </rPr>
      <t>光影魔法师</t>
    </r>
    <r>
      <rPr>
        <sz val="9"/>
        <color rgb="FF08090C"/>
        <rFont val="宋体"/>
        <charset val="134"/>
      </rPr>
      <t>✖</t>
    </r>
    <r>
      <rPr>
        <sz val="9"/>
        <color rgb="FF08090C"/>
        <rFont val="微软雅黑"/>
        <charset val="134"/>
      </rPr>
      <t>️手作创意人！集摄影美学、手工创作、场景穿搭与灵感旅拍于一身，横跨文化、时尚、艺术、生活领域，是品牌解锁年轻视野与创意表达的绝佳伙伴。”</t>
    </r>
  </si>
  <si>
    <t>YunmuL</t>
  </si>
  <si>
    <t>手工 创意制作 摄影</t>
  </si>
  <si>
    <t>https://v.douyin.com/sAN6OJdtQJk/ 5@8.com</t>
  </si>
  <si>
    <t>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</si>
  <si>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7199695122814992442</t>
  </si>
  <si>
    <t>60S以上可分发快手、小红书</t>
  </si>
  <si>
    <t>男：38%
女：62%</t>
  </si>
  <si>
    <t>18-23：54%
24-30：25%
31-40：18%</t>
  </si>
  <si>
    <t>霸王茶姬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</si>
  <si>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</si>
  <si>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</si>
  <si>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</si>
  <si>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</si>
  <si>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</si>
  <si>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</si>
  <si>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</si>
  <si>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男：59.8%
女：40.2%</t>
  </si>
  <si>
    <t>24-30：22.4%
31-40：40.7%
41-50：13.3%</t>
  </si>
  <si>
    <t>Z世代：7.9%
新锐白领：13.4%
小镇青年：36.3%
精致妈妈：4.6%
资深中产：5.5%
都市蓝领：11.4%
小镇中老年：13.3%
都市银发：7.6%</t>
  </si>
  <si>
    <t>五粮液、郑州日产、长安汽车、圣酒玉玺、荣威、王者荣耀、瑞丽特干葡萄酒、金六福酒、食魂火锅底料等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</si>
  <si>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</si>
  <si>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</si>
  <si>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</si>
  <si>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</si>
  <si>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</si>
  <si>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</si>
  <si>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</si>
  <si>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线下活动一小时30000</t>
  </si>
  <si>
    <t>男：62.5%
女：37.5%</t>
  </si>
  <si>
    <t>18-23：38.9%
24-30：30.1%
31-40：22.9%</t>
  </si>
  <si>
    <t>Z世代：31.5%
新锐白领：21.5%
小镇青年：22.1%
精致妈妈：3.6%
资深中产：3%
都市蓝领：14.2%
小镇中老年：2.4%
都市银发：1.7%</t>
  </si>
  <si>
    <t>京东、三星、凯迪拉克、千古情景区、MAC、韶音耳机、科兰黎、阿维塔、东风日产、领克、捷途、奔腾、长安、机械革命、岚图、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</si>
  <si>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</si>
  <si>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</si>
  <si>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</si>
  <si>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</si>
  <si>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</si>
  <si>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</si>
  <si>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</si>
  <si>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男：92.6%
女：7.4%</t>
  </si>
  <si>
    <t>18-23：68.8%
24-30：22.4%
31-40：5.5%</t>
  </si>
  <si>
    <t>Z世代：51.9%
新锐白领：11.7%
小镇青年：21.5%
精致妈妈：0.1%
资深中产：0.6%
都市蓝领：13.2%
小镇中老年：0.6%
都市银发：0.5%</t>
  </si>
  <si>
    <t>YSL、五菱、星穹铁道、小米、香奈儿、蛋仔派对、京东、周大生、东风奕派、汉堡王、华为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</si>
  <si>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</si>
  <si>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</si>
  <si>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</si>
  <si>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</si>
  <si>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</si>
  <si>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</si>
  <si>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男：56.2%
女：43.8%</t>
  </si>
  <si>
    <t>18-23：48%
24-30：19%
31-40：13.7%</t>
  </si>
  <si>
    <t>Z世代：43%
新锐白领：10.6%
小镇青年：14.8%
精致妈妈：1.3%
资深中产：1.4%
都市蓝领：15.2%
小镇中老年：7.1%
都市银发：6.6%</t>
  </si>
  <si>
    <t>蛋仔派对、欧莱雅、理然、徕芬、美度、零跑、李宁、太平鸟、百事、凌度、芝华仕、东鹏大咖、1664、波司登、科罗娜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</si>
  <si>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</si>
  <si>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</si>
  <si>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</si>
  <si>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</si>
  <si>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</si>
  <si>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</si>
  <si>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男：93.7%
女：6.3%</t>
  </si>
  <si>
    <t>18-23：42.6%
24-30：42.8%
31-40：12.8%</t>
  </si>
  <si>
    <t>Z世代：24.7%
新锐白领：23.3%
小镇青年：23.6%
精致妈妈：0.6%
资深中产：0.8%
都市蓝领：25.1%
小镇中老年：0.9%
都市银发：1%</t>
  </si>
  <si>
    <t>伊利、intoyou、Swisse、瑞幸、零跑、RIO、剑侠世界3、星球重启、三国志、永劫无间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</si>
  <si>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</si>
  <si>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</si>
  <si>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</si>
  <si>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</si>
  <si>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</si>
  <si>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</si>
  <si>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</si>
  <si>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男：36.3%
女：63.7%</t>
  </si>
  <si>
    <t>18-23：69.7%
24-30：22.1%
31-40：4.7%</t>
  </si>
  <si>
    <t>Z世代：53.8%
新锐白领：14.8%
小镇青年：17.3%
精致妈妈：1.7%
资深中产：0.5%
都市蓝领：10.8%
小镇中老年：0.5%
都市银发：0.5%</t>
  </si>
  <si>
    <t>蛋仔派对、拼多多、七度空间、久匠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</si>
  <si>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</si>
  <si>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</si>
  <si>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</si>
  <si>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</si>
  <si>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</si>
  <si>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</si>
  <si>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男：89.5%
女：10.5%</t>
  </si>
  <si>
    <t>18-23：43.6%
24-30：36.2%
31-40：17.5%</t>
  </si>
  <si>
    <t>Z世代：28.4%
新锐白领：27.5%
小镇青年：20.8%
精致妈妈：1%
资深中产：1.8%
都市蓝领：19.5%
小镇中老年：0.7%
都市银发：0.4%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</si>
  <si>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</si>
  <si>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</si>
  <si>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</si>
  <si>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</si>
  <si>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</si>
  <si>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</si>
  <si>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</si>
  <si>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男：88.5%
女：11.5%</t>
  </si>
  <si>
    <t>18-23：48.3%
24-30：37.6%
31-40：12.1%</t>
  </si>
  <si>
    <t>Z世代：29.5%
新锐白领：28.6%
小镇青年：19.1%
精致妈妈：0.8%
资深中产：1%
都市蓝领：20%
小镇中老年：0.5%
都市银发：0.4%</t>
  </si>
  <si>
    <t>得物、拼多多、穿越火线、比亚迪、昊铂、明日之后、东本思域</t>
  </si>
  <si>
    <t>广州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</si>
  <si>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</si>
  <si>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</si>
  <si>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</si>
  <si>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</si>
  <si>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</si>
  <si>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</si>
  <si>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18-23：45.4%
24-30：34.8%
31-40：17.2%</t>
  </si>
  <si>
    <t>Z世代：29.9%
新锐白领：29.4%
小镇青年：20.9%
精致妈妈：0.5%
资深中产：1.6%
都市蓝领：16.6%
小镇中老年：0.6%
都市银发：0.5%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</si>
  <si>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</si>
  <si>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</si>
  <si>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</si>
  <si>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</si>
  <si>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</si>
  <si>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</si>
  <si>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</si>
  <si>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</si>
  <si>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男：53.5%
女：46.5%</t>
  </si>
  <si>
    <t>18-23：52.2%
24-30：33.1%
31-40：11.4%</t>
  </si>
  <si>
    <t>Z世代：34.2%
新锐白领：21.6%
小镇青年：20.5%
精致妈妈：3.1%
资深中产：1%
都市蓝领：17.7%
小镇中老年：0.9%
都市银发：1%</t>
  </si>
  <si>
    <t>迪奥、娇韵诗、伊利、MAC、沪上阿姨、原神启动、TF、比亚迪、coach、1664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</si>
  <si>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</si>
  <si>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</si>
  <si>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</si>
  <si>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</si>
  <si>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</si>
  <si>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</si>
  <si>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</si>
  <si>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男：23.1%   
女：76.9%</t>
  </si>
  <si>
    <t>18-23：17.2%
24-30：40.1%
31-40：36.5%</t>
  </si>
  <si>
    <t>Z世代：9.3%
新锐白领：20.3%
小镇青年：27.1%
精致妈妈：15.4%
资深中产：3.6%
都市蓝领：19.5%
小镇中老年：3.1%
都市银发：1.6%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</si>
  <si>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</si>
  <si>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</si>
  <si>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</si>
  <si>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</si>
  <si>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</si>
  <si>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</si>
  <si>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男：11.4%
女：88.6%</t>
  </si>
  <si>
    <t>18-23：69.9%
24-30：20.5%
31-40：5%</t>
  </si>
  <si>
    <t>Z世代：44%
新锐白领：10.7%
小镇青年：23.3%
精致妈妈：3.3%
资深中产：0.6%
都市蓝领：16.4%
小镇中老年：1.1%
都市银发：0.8%</t>
  </si>
  <si>
    <t>抖音好物节、鲜菲乐、可颂</t>
  </si>
  <si>
    <t>敢敢</t>
  </si>
  <si>
    <t>达人气质独特，或甜美可爱，或冷艳高贵，或清新自然，能够根据不同的视频主题和服装造型，展现出多样的风格，为粉丝带来不一样的视觉体验，能满足不同客户的需求。</t>
  </si>
  <si>
    <t>bk20010531</t>
  </si>
  <si>
    <t>颜值、日常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</si>
  <si>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</si>
  <si>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</si>
  <si>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</si>
  <si>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男：47.4%
女：52.6%</t>
  </si>
  <si>
    <t>18-23：57.5%
24-30：28.7%
31-40：9.9%</t>
  </si>
  <si>
    <t>Z世代：45.4%
新锐白领：15.1%
小镇青年：23.2%
精致妈妈：1.9%
资深中产：0.6%
都市蓝领：12.8%
小镇中老年：0.6%
都市银发：0.4%</t>
  </si>
  <si>
    <t>YSL、海昌、moody美瞳、尊尼获加、雀巢、兰蔻、劲酒、青岛啤酒、</t>
  </si>
  <si>
    <t>陈饿了么</t>
  </si>
  <si>
    <t>生活随拍领域创作者，自2022年起发布视频，凭借多样内容收获22.8万粉丝与200.3万点赞。其视频风格真实自然，能有效吸引观众注意力，为品牌广告提供了良好的传播载体，助力品牌实现高效推广与营销转化。</t>
  </si>
  <si>
    <t>HAHAjustforfun</t>
  </si>
  <si>
    <t>https://v.douyin.com/5LLBqQm4uf4/</t>
  </si>
  <si>
    <t>https://www.xingtu.cn/ad/creator/author-homepage/douyin-video/7407347330132738057?market_track_id=7SU5QKEZ921HNV6839I8&amp;search_session_id=7559782211450028086&amp;possessStarId</t>
  </si>
  <si>
    <t>7407347330132738057</t>
  </si>
  <si>
    <t>男：59.3%
女：40.7%</t>
  </si>
  <si>
    <t>18-23：67.2%
24-30：24.4%
31-40：5.7%</t>
  </si>
  <si>
    <t>Z世代：49.4%
新锐白领：14%
小镇青年：20.3%
精致妈妈：1.7%
资深中产：0.5%
都市蓝领：13.3%
小镇中老年：0.4%
都市银发：0.4%</t>
  </si>
  <si>
    <t>骆驼、得物、伯希和</t>
  </si>
  <si>
    <t>泉州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</si>
  <si>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</si>
  <si>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</si>
  <si>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</si>
  <si>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</si>
  <si>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</si>
  <si>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</si>
  <si>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男：13.6%
女：86.4%</t>
  </si>
  <si>
    <t>18-23：58.9%
24-30：33.1%
31-40：6.4%</t>
  </si>
  <si>
    <t>Z世代：34%
新锐白领：16.4%
小镇青年：24%
精致妈妈：5.4%
资深中产：0.4%
都市蓝领：18.9%
小镇中老年：0.4%
都市银发：0.3%</t>
  </si>
  <si>
    <t>妍甄sama</t>
  </si>
  <si>
    <t>可甜可盐的漂亮妹妹，能演能舞的全能girl</t>
  </si>
  <si>
    <t>yanzhensama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</si>
  <si>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</si>
  <si>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</si>
  <si>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</si>
  <si>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男：79.5%
女：20.5%</t>
  </si>
  <si>
    <t>18-23：65.3%
24-30：22.3%
31-40：7.9%</t>
  </si>
  <si>
    <t>Z世代：52%
新锐白领：10.1%
小镇青年：24.3%
精致妈妈：0.6%
资深中产：0.6%
都市蓝领：11.2%
小镇中老年：0.7%
都市银发：0.5%</t>
  </si>
  <si>
    <t>探探、HMD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</si>
  <si>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</si>
  <si>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</si>
  <si>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</si>
  <si>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</si>
  <si>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</si>
  <si>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</si>
  <si>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</si>
  <si>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男：17.2%
女：82.8%</t>
  </si>
  <si>
    <t>18-23：70.3%
24-30：11.3%
31-40：7.9%</t>
  </si>
  <si>
    <t>Z世代：63.1%
新锐白领：5.6%
小镇青年：22.7%
精致妈妈：1.1%
资深中产：0.8%
都市蓝领：5%
小镇中老年：1%
都市银发：0.7%</t>
  </si>
  <si>
    <t>MAC、OLAY、施华蔻、欧莱雅、得物、ubras、淘宝、OPPO、京东、理肤泉、花西子、丝芙兰、MAC、拼多多、适乐肤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</si>
  <si>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</si>
  <si>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</si>
  <si>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</si>
  <si>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</si>
  <si>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</si>
  <si>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</si>
  <si>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</si>
  <si>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男：82.2%
女：17.8%</t>
  </si>
  <si>
    <t>18-23：53.4%
24-30：31.1%
31-40：11.8%</t>
  </si>
  <si>
    <t>Z世代：33.8%
新锐白领：25.3%
小镇青年：19.5%
精致妈妈：1.1%
资深中产：1.3%
都市蓝领：17%
小镇中老年：1%
都市银发：1%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</si>
  <si>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</si>
  <si>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</si>
  <si>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</si>
  <si>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</si>
  <si>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</si>
  <si>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</si>
  <si>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</si>
  <si>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合集单坑18000</t>
  </si>
  <si>
    <t>男：16.1%
女：83.9%</t>
  </si>
  <si>
    <t>18-23：75%
24-30：8.9%
31-40：6.5%</t>
  </si>
  <si>
    <t>Z世代：66.5%
新锐白领：4.5%
小镇青年：21.2%
精致妈妈：0.7%
资深中产：0.7%
都市蓝领：4.6%
小镇中老年：1%
都市银发：0.9%</t>
  </si>
  <si>
    <t>彩棠、七度空间、膜法世家、瑷尔博士、法珀、珂润、谷雨、雕牌、心相印、可啦啦美瞳、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</si>
  <si>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</si>
  <si>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</si>
  <si>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</si>
  <si>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</si>
  <si>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</si>
  <si>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</si>
  <si>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</si>
  <si>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</si>
  <si>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：82.9%
女 ：17.1%</t>
  </si>
  <si>
    <t>18-23：49.5%
24-30：29.9%
31-40：14.8%</t>
  </si>
  <si>
    <t>Z世代：39%
新锐白领：14.4%
小镇青年：24.9%
精致妈妈：0.7%
资深中产：1.1%
都市蓝领：17.3%
小镇中老年：1.5%
都市银发：1.1%</t>
  </si>
  <si>
    <t>小米、伊利、无畏契约、奇瑞、名创优品、宝骏悦也、梦幻西游、五菱、三角洲行动、OPPO、苏菲、永劫无间、蛋仔派对、百事可乐</t>
  </si>
  <si>
    <t>重庆/成都</t>
  </si>
  <si>
    <t>李里</t>
  </si>
  <si>
    <t>内容以创意制作与猎奇搞笑为核心，互动率稳居行业前列。其表演功底深厚，跨媒介适配能力突出，擅长将品牌自然融入趣味内容，过往合作曾带动产品转化率飙升300%。配合度高、创作效率优，能快速精准触达目标受众，是星图广告合作的优质之选，助力品牌实现声量与销量双爆发。</t>
  </si>
  <si>
    <t>LILI800</t>
  </si>
  <si>
    <t>段子 剧情</t>
  </si>
  <si>
    <t>https://v.douyin.com/YnUjViz55N4/</t>
  </si>
  <si>
    <t>https://www.xingtu.cn/ad/creator/author-homepage/douyin-video/6716888711335772164?market_track_id=IFYOO8BHE9JNSSK8UBE6&amp;search_session_id=7571704554984472619&amp;possessStarId</t>
  </si>
  <si>
    <t>6716888711335772164</t>
  </si>
  <si>
    <t>男：67.3%
女：32.7%</t>
  </si>
  <si>
    <t>18-23：22.2%
24-30：26%
31-40：31.4%</t>
  </si>
  <si>
    <t>Z世代：20.6%
新锐白领：19.1%
小镇青年：23.5%
精致妈妈：4.1%
资深中产：3.5%
都市蓝领：14.5%
小镇中老年：7.6%
都市银发：7.1%</t>
  </si>
  <si>
    <t>阿维塔、零跑、美团、vivo、元气森林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</si>
  <si>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</si>
  <si>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</si>
  <si>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</si>
  <si>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</si>
  <si>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</si>
  <si>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</si>
  <si>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</si>
  <si>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男 ：33.9%
女 ：66.1%</t>
  </si>
  <si>
    <t>18-23：45.2%
24-30：28.9%
31-40：17.3%</t>
  </si>
  <si>
    <t>Z世代：40.5%
新锐白领：11%
小镇青年：25.3%
精致妈妈：5%
资深中产：1.3%
都市蓝领：13.8%
小镇中老年：1.7%
都市银发：1.4%</t>
  </si>
  <si>
    <t>北鼻小天</t>
  </si>
  <si>
    <t>阳光正能量的颜值博主，众多的男粉占比，其作品围绕“忠于快乐，好好生活”的主题展开，传递出积极向上的生活态度和价值观。达人配合度高，合作过王者、即山川发泥、白荆回廊、李未可AR眼镜、moody、realme真我手机、TF、原神启动、梦幻西游等品牌</t>
  </si>
  <si>
    <t>TianT0625</t>
  </si>
  <si>
    <t>颜值、搞笑</t>
  </si>
  <si>
    <t>https://v.douyin.com/S2jDbCK/</t>
  </si>
  <si>
    <t>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</si>
  <si>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6870170834816729101</t>
  </si>
  <si>
    <t>男 ：83.9%
女 ：16.1%</t>
  </si>
  <si>
    <t>18-23：53.9%
24-30：18.4%
31-40：14.8%</t>
  </si>
  <si>
    <t>z世代：49.8%
小镇青年：24.8%
精致妈妈：0.8%
新锐白领：6.2%
都市蓝领：12.7%
小镇中老年：2.2%
资深中产：1.3%
都市银发：2.3%</t>
  </si>
  <si>
    <t>王者、moody、realme真我手机、TF、原神、梦幻西游、长安深蓝、奇瑞icar、得物</t>
  </si>
  <si>
    <t>娜扎分渣</t>
  </si>
  <si>
    <t>聚焦泛生活恋爱情景，《约会实战篇》等合集播放破亿，精准触达18-35岁女性核心受众。内容原生感强、种草属性突出，粉丝购买力不俗，过往合作转化率表现亮眼。账号风格贴近生活，广告融入自然不违和，是美妆、穿搭、婚恋相关品牌星图合作的优质之选。</t>
  </si>
  <si>
    <t>段子、颜值</t>
  </si>
  <si>
    <t>https://v.douyin.com/bwEB4nNFwkw/</t>
  </si>
  <si>
    <t>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</t>
  </si>
  <si>
    <t>7021345477824086023</t>
  </si>
  <si>
    <t>快手 视频号</t>
  </si>
  <si>
    <t>男 ：23.8%
女 ：76.2%</t>
  </si>
  <si>
    <t>18-23：44.2%
24-30：31.8%
31-40：19.9%</t>
  </si>
  <si>
    <t>Z世代：32%
新锐白领：19.6%
小镇青年：30.2%
精致妈妈：6%
资深中产：2.1%
都市蓝领：8.4%
小镇中老年：1.2%
都市银发：0.5%</t>
  </si>
  <si>
    <t>MAC、薇诺娜、欧莱雅、徕芬、花西子</t>
  </si>
  <si>
    <t>成都
北京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</si>
  <si>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</si>
  <si>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</si>
  <si>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</si>
  <si>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</si>
  <si>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</si>
  <si>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</si>
  <si>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</si>
  <si>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男：28.8%
女：71.2%</t>
  </si>
  <si>
    <t>18-23：38.2%
24-30：24.6%
31-40：18.4%</t>
  </si>
  <si>
    <t>Z世代：39.4%
新锐白领：14.1%
小镇青年：20.6%
精致妈妈：5.4%
资深中产：1.8%
都市蓝领：9.3%
小镇中老年：4.7%
都市银发：4.8%</t>
  </si>
  <si>
    <t>usmile、麦当劳、淘宝、可爱多、林里柠檬茶、脉动、芬达、美团、肯德基</t>
  </si>
  <si>
    <t>孙博士讲英语</t>
  </si>
  <si>
    <t>于2010年博士毕业。从2005年开始英语教学，20年英语教学经验。用讲段子的方式让大家熟练掌握英语的运用。沟通配合度高，创意能力出众，能完美契合客户需求。</t>
  </si>
  <si>
    <t>danshuisihan</t>
  </si>
  <si>
    <t>https://v.douyin.com/bHqAlsCKcIw/</t>
  </si>
  <si>
    <t>https://www.xingtu.cn/ad/creator/author-homepage/douyin-video/7548699303942832174?market_track_id=A1GVOKQQEDPMPOB3NZJQ&amp;search_session_id=7567378003446431795&amp;possessStarId</t>
  </si>
  <si>
    <t>7548699303942832174</t>
  </si>
  <si>
    <t>视频号 小红书 快手</t>
  </si>
  <si>
    <t>男 ：43.9%
女 ：56.1%</t>
  </si>
  <si>
    <t>18-23：18.8%
24-30：32.1%
31-40：39.7%</t>
  </si>
  <si>
    <t>z世代：14.7%
小镇青年：25.5%
精致妈妈：12.9%
新锐白领：18.8%
都市蓝领：16.6%
小镇中老年：4.2%
资深中产：4.3%
都市银发：3%</t>
  </si>
  <si>
    <t>长春</t>
  </si>
  <si>
    <t>九九我啊-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</si>
  <si>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</si>
  <si>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</si>
  <si>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</si>
  <si>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</si>
  <si>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</si>
  <si>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男：85.6%
女：14.4%</t>
  </si>
  <si>
    <t>18-23：35.4%
24-30：33.8%
31-40：17.1%</t>
  </si>
  <si>
    <t>Z世代：24%
新锐白领：23.9%
小镇青年：20.5%
精致妈妈：0.6%
资深中产：1.5%
都市蓝领：18.2%
小镇中老年：5.5%
都市银发：5.9%</t>
  </si>
  <si>
    <t>helens、豆包app、百加得、RIO、书亦烧仙草、百利得、雪碧、果汁源、KKV、小郎酒、元气森林、百加得</t>
  </si>
  <si>
    <t>长沙</t>
  </si>
  <si>
    <t>歪老板在干嘛？</t>
  </si>
  <si>
    <t>泛生活领域优质创作者，高赞作品达20.8万赞。内容聚焦日常互动，风格鲜活接地气，与“老辈子”的趣味互动极具记忆点。粉丝粘性强，适配快消、家居等多类生活场景品牌，转化潜力可观。</t>
  </si>
  <si>
    <t>https://v.douyin.com/X59bTLxsw30/</t>
  </si>
  <si>
    <t>https://www.xingtu.cn/ad/creator/author-homepage/douyin-video/7407743938431287347?market_track_id=6VJJY5F6E3FS3YS952O9&amp;search_session_id=7566145823580274730&amp;possessStarId</t>
  </si>
  <si>
    <t>7407743938431287347</t>
  </si>
  <si>
    <t>视频号 快手</t>
  </si>
  <si>
    <t>男：90.4%
女：9.6%</t>
  </si>
  <si>
    <t>18-23：36.6%
24-30：35.6%
31-40：22.8%</t>
  </si>
  <si>
    <t>Z世代：25.1%
新锐白领：21.5%
小镇青年：20.6%
精致妈妈：0.6%
资深中产：2.3%
都市蓝领：26.8%
小镇中老年：1.7%
都市银发：1.3%</t>
  </si>
  <si>
    <t>重庆啤酒、永辉超市</t>
  </si>
  <si>
    <t>盆盆Penny</t>
  </si>
  <si>
    <t>丰富的情感表达，使得博主有众多男性粉丝关注，在忙碌的生活中找到一丝慰藉和共鸣</t>
  </si>
  <si>
    <t>Penny1204</t>
  </si>
  <si>
    <t>情感、段子</t>
  </si>
  <si>
    <t>https://v.douyin.com/iN7QSUQs/</t>
  </si>
  <si>
    <t>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</si>
  <si>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6870160454354731015</t>
  </si>
  <si>
    <t>男 ：73.6%
女 ：26.4%</t>
  </si>
  <si>
    <t>18-23：12.4%
24-30：37%
31-40：41.6%</t>
  </si>
  <si>
    <t>z世代：6.4%
小镇青年：25.8%
精致妈妈：3.8%
新锐白领：23.4%
都市蓝领：29.8%
小镇中老年：4%
资深中产：4.8%
都市银发：1.9%</t>
  </si>
  <si>
    <t>小西米app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</si>
  <si>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</si>
  <si>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</si>
  <si>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</si>
  <si>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剧情、搞笑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</si>
  <si>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</si>
  <si>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</si>
  <si>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</si>
  <si>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男：44.2%
女：55.8%</t>
  </si>
  <si>
    <t>18-23：52.8%
24-30：23.5%
31-40：14.4%</t>
  </si>
  <si>
    <t>Z世代：42.3%
新锐白领：10.1%
小镇青年：23.8%
精致妈妈：3.6%
资深中产：1.4%
都市蓝领：13.7%
小镇中老年：2.6%
都市银发：2.4%</t>
  </si>
  <si>
    <t>蛋仔派对、新奇士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</si>
  <si>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</si>
  <si>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</si>
  <si>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</si>
  <si>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</si>
  <si>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</si>
  <si>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</si>
  <si>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：84.8%
女 ：15.2%</t>
  </si>
  <si>
    <t>18-23：51.7%
24-30：20.8%
31-40：15.5%</t>
  </si>
  <si>
    <t>Z世代：44.7%
新锐白领：14.6%
小镇青年：20.9%
精致妈妈：0.7%
资深中产：2.9%
都市蓝领：11%
小镇中老年：2.7%
都市银发：2.3%</t>
  </si>
  <si>
    <t>豆包APP、QCY耳机、转转、三国志、爱回收、逆水寒、58同城、永劫无间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</si>
  <si>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</si>
  <si>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</si>
  <si>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</si>
  <si>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</si>
  <si>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</si>
  <si>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</si>
  <si>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</si>
  <si>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男：20.9%   
女：79.1%</t>
  </si>
  <si>
    <t>18-23；71.4% 24-30；17.8% 31-40；5.5%</t>
  </si>
  <si>
    <t>Z世代：58.4%
新锐白领：10.3%
小镇青年：20%
精致妈妈：1.5%
资深中产：0.5%
都市蓝领：8.1%
小镇中老年：0.7%
都市银发：0.6%</t>
  </si>
  <si>
    <t>康师傅、乐堡啤酒、五菱宏光、华为、美年达、华为、智己、广汽埃安、海尔、苹果、百事可乐</t>
  </si>
  <si>
    <t>晨晓义</t>
  </si>
  <si>
    <t>堪称生活中的 “幽默核弹”，总能从情侣间的平凡日常里挖掘出令人捧腹的笑点。内容覆盖“搞笑+甜蜜”双线。</t>
  </si>
  <si>
    <t>情侣、日常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</si>
  <si>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</si>
  <si>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</si>
  <si>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</si>
  <si>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男：70.5%
女：29.5%</t>
  </si>
  <si>
    <t>18-23：33.3%
24-30：36%
31-40：24.4%</t>
  </si>
  <si>
    <t>Z世代：21.8%
新锐白领：14.7%
小镇青年：26.7%
精致妈妈：2.9%
资深中产：1.9%
都市蓝领：28.2%
小镇中老年：2.5%
都市银发：1.4%</t>
  </si>
  <si>
    <t>得物、肯德基、荣威、广汽丰田、吉列剃须刀、小奥汀、膜法世家、DNF、美团、传祺、smart、别克、沱牌、乐事</t>
  </si>
  <si>
    <t>北京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</si>
  <si>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</si>
  <si>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</si>
  <si>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</si>
  <si>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</si>
  <si>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</si>
  <si>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</si>
  <si>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男：44.9%
女：55.1%</t>
  </si>
  <si>
    <t>18-23：53.9%
24-30：22%
31-40：14.3%</t>
  </si>
  <si>
    <t>Z世代：50.2%
新锐白领：7.5%
小镇青年：23.1%
精致妈妈：3.7%
资深中产：1%
都市蓝领：11.3%
小镇中老年：1.6%
都市银发：1.7%</t>
  </si>
  <si>
    <t>追觅、得物 、比亚迪、MG7、柠季、佳得乐、心相印、荣耀、比亚迪、杜蕾斯、范琦、雪花啤酒、</t>
  </si>
  <si>
    <t>你的最佳男友</t>
  </si>
  <si>
    <t>专注记录情侣间的甜蜜互动，以日常生活为素材，为用户带来了积极的情感价值。</t>
  </si>
  <si>
    <t>zy000222</t>
  </si>
  <si>
    <t>https://v.douyin.com/i3omXSR/</t>
  </si>
  <si>
    <t>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</si>
  <si>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6870161001908535304</t>
  </si>
  <si>
    <t>男：58.5%
女：41.5%</t>
  </si>
  <si>
    <t>18-23：81.6%
24-30：8.6%
31-40：3.6%</t>
  </si>
  <si>
    <t>Z世代：67.2%
新锐白领：4.2%
小镇青年：20.4%
精致妈妈：0.4%
资深中产：0.4%
都市蓝领：5.8%
小镇中老年：0.8%
都市银发：0.8%</t>
  </si>
  <si>
    <t>DR、飞鹤、天涯明月刀手游、得物、德克士、曼秀雷敦、奥利奥、1664、卡拉比丘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</si>
  <si>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</si>
  <si>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</si>
  <si>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</si>
  <si>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</si>
  <si>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</si>
  <si>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</si>
  <si>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</si>
  <si>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男：53.7%
女：46.3%</t>
  </si>
  <si>
    <t>18-23：19.2%
24-30：28.2%
31-40：38.7%</t>
  </si>
  <si>
    <t>Z世代：14.7%
新锐白领：16.2%
小镇青年：25.2%
精致妈妈：5.1%
资深中产：5.4%
都市蓝领：24.6%
小镇中老年：6%
都市银发：2.8%</t>
  </si>
  <si>
    <t>京东、雪佛兰、大众、麦当劳、乐事、伊利、徕芬、松下、欧莱雅、伊利、燕之屋、华为、赫莲娜、伊利金典、海尔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</si>
  <si>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</si>
  <si>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</si>
  <si>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</si>
  <si>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</si>
  <si>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</si>
  <si>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</si>
  <si>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</si>
  <si>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：54.6%  
男 ：45.4%</t>
  </si>
  <si>
    <t>18-23：29.3%
24-30：30.9%
31-40：32%</t>
  </si>
  <si>
    <t>Z世代：23.6%
新锐白领：18.2%
小镇青年：26.3%
精致妈妈：11%
资深中产：3.9%
都市蓝领：12.3%
小镇中老年：3.2%
都市银发：1.4%</t>
  </si>
  <si>
    <t>优思明、杜蕾斯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</si>
  <si>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</si>
  <si>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</si>
  <si>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</si>
  <si>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</si>
  <si>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</si>
  <si>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</si>
  <si>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</si>
  <si>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</si>
  <si>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男：78%
女：22%</t>
  </si>
  <si>
    <t>18-23：35.7%
24-30：26.1%
31-40：23.3%</t>
  </si>
  <si>
    <t>Z世代：33%
新锐白领：18.3%
小镇青年：21.6%
精致妈妈：2.1%
资深中产：3%
都市蓝领：14.9%
小镇中老年：3.7%
都市银发：3.4%</t>
  </si>
  <si>
    <t>伊利、东风纳米、荣威、碧欧泉、吉列、林肯汽车、阿维塔11、长安深蓝、比亚迪、妮维雅、蕉内、奇瑞icar</t>
  </si>
  <si>
    <t>失野晶</t>
  </si>
  <si>
    <t>分享生活中的点滴，如约会Vlog、回母校的经历等，让粉丝感受到她真实的一面。粉丝多为20-35岁女性，精准覆盖精致生活追求者。广告植入自然融入场景，适配美妆、穿搭、家居、文旅等品类，星图投放转化高效，助力品牌传递优雅生活态度。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</si>
  <si>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</si>
  <si>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</si>
  <si>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</si>
  <si>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6675972478684102659</t>
  </si>
  <si>
    <t>男：21.1%
女：78.9%</t>
  </si>
  <si>
    <t>18-23：52.5%
24-30：32.8%
31-40：11%</t>
  </si>
  <si>
    <t>Z世代：38.2%
新锐白领：13.2%
小镇青年：24.5%
精致妈妈：6.4%
资深中产：0.7%
都市蓝领：15.4%
小镇中老年：0.9%
都市银发：0.6%</t>
  </si>
  <si>
    <t>祖玛珑、兰蔻、YSL、雅诗兰黛、华为、比亚迪、长安</t>
  </si>
  <si>
    <t>一航（演员版）</t>
  </si>
  <si>
    <t>红果S+级别男主，凭借《不能相爱的我们》等多部爆款短剧走红，荣获“年度微短剧观众喜爱演员”奖。他演技精湛，能轻松驾驭多种角色，无论是霸道总裁还是病娇男主都演绎得淋漓尽致。与李施嬅等知名演员合作，影响力十足，是品牌合作的优质之选。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</si>
  <si>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</si>
  <si>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</si>
  <si>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</si>
  <si>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6800827006318542862</t>
  </si>
  <si>
    <t>视频号 小红书</t>
  </si>
  <si>
    <t>男：24.5%
女：75.5%</t>
  </si>
  <si>
    <t>18-23：33.4%
24-30：29.6%
31-40：28.2%</t>
  </si>
  <si>
    <t>Z世代：26.1%
新锐白领：14.8%
小镇青年：23%
精致妈妈：9.6%
资深中产：3.2%
都市蓝领：18%
小镇中老年：3.3%
都市银发：2%</t>
  </si>
  <si>
    <t>瑞幸咖啡、DR、adidas、安慕希、奇瑞、菜鸟驿站、喜力、劲霸男装、捷达、九牧王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</si>
  <si>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</si>
  <si>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</si>
  <si>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</si>
  <si>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</si>
  <si>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</si>
  <si>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</si>
  <si>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男：88.7%
女：11.3%</t>
  </si>
  <si>
    <t>18-23：30.4%
24-30：43.5%
31-40：23.1%</t>
  </si>
  <si>
    <t>Z世代：19.8%
新锐白领：40.6%
小镇青年：18.7%
精致妈妈：0.9%
资深中产：2.7%
都市蓝领：16.1%
小镇中老年：0.8%
都市银发：0.5%</t>
  </si>
  <si>
    <t>RIO、大话西游、长安幻想、绵阳方特、和成天下、沱牌舍得、</t>
  </si>
  <si>
    <t>渣男金乘五</t>
  </si>
  <si>
    <t>当代抽象艺术家 “年轻的国王保持清醒”《Future国王语录》作品合集播放超3亿男粉占比87%</t>
  </si>
  <si>
    <t>Fatboyk</t>
  </si>
  <si>
    <t>日常、随拍</t>
  </si>
  <si>
    <t>https://v.douyin.com/iyQ6npBH/</t>
  </si>
  <si>
    <t>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</si>
  <si>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7044187080850669604</t>
  </si>
  <si>
    <t>男：87.2%
女：12.8%</t>
  </si>
  <si>
    <t>18-23：56.8%
24-30：31.1%
31-40：9.5%</t>
  </si>
  <si>
    <t>Z世代：38.9%
新锐白领：26.7%
小镇青年：20.3%
精致妈妈：0.9%
资深中产：1%
都市蓝领：11.4%
小镇中老年：0.4%
都市银发：0.3%</t>
  </si>
  <si>
    <t>汉兰达、得物、自然堂、徕芬</t>
  </si>
  <si>
    <t>元贞爱亨利</t>
  </si>
  <si>
    <t>泛生活领域创作者，粉丝量达17.39万，点赞量超259.6万。其视频以生活随拍为主，内容真实有趣，能自然融入广告产品。曾有多条视频点赞量破万，合作性价比高，适合各类生活、消费类品牌进行推广。</t>
  </si>
  <si>
    <t>https://v.douyin.com/YPNJaozIgqY/</t>
  </si>
  <si>
    <t>https://www.xingtu.cn/ad/creator/author-homepage/douyin-video/7530268826995261481?market_track_id=AFYCHK8E6RNNZI1D3OYX&amp;search_session_id=7560902726126403620&amp;possessStarId</t>
  </si>
  <si>
    <t>7530268826995261481</t>
  </si>
  <si>
    <t>小红书 B站</t>
  </si>
  <si>
    <t>男：16.8%
女：83.2%</t>
  </si>
  <si>
    <t>18-23：54.9%
24-30：20.1%
31-40：14.5%</t>
  </si>
  <si>
    <t>Z世代：48%
新锐白领：8.1%
小镇青年：26.7%
精致妈妈：2.3%
资深中产：1.4%
都市蓝领：10.4%
小镇中老年：1.9%
都市银发：1.1%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</si>
  <si>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</si>
  <si>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</si>
  <si>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</si>
  <si>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</si>
  <si>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</si>
  <si>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</si>
  <si>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：42.4%
女 ：57.6%</t>
  </si>
  <si>
    <t>18-23：46.4%
24-30：31%
31-40：15.5%</t>
  </si>
  <si>
    <t>Z世代：33.1%
新锐白领：15.1%
小镇青年：23.5%
精致妈妈：2.9%
资深中产：1.9%
都市蓝领：19.4%
小镇中老年：2.3%
都市银发：1.7%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</si>
  <si>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</si>
  <si>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</si>
  <si>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</si>
  <si>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</si>
  <si>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</si>
  <si>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</si>
  <si>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</si>
  <si>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</si>
  <si>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男：9.1%
女：90.9%</t>
  </si>
  <si>
    <t>18-23：77.8%
24-30：16.3%
31-40：3.2%</t>
  </si>
  <si>
    <t>Z世代：55.9%
新锐白领：7.6%
小镇青年：24.3%
精致妈妈：1.6%
资深中产：0.3%
都市蓝领：9.4%
小镇中老年：0.6%
都市银发：0.4%</t>
  </si>
  <si>
    <t>耐克、脉动、金味挑战赛、柠檬道、阿尔卑斯、香奈儿香水、谷雨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</si>
  <si>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</si>
  <si>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</si>
  <si>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</si>
  <si>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</si>
  <si>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</si>
  <si>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</si>
  <si>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</si>
  <si>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：66.5%
女 ：33.5%</t>
  </si>
  <si>
    <t>24-30：25.3%
31-40：37.3%
41-50：19.2%</t>
  </si>
  <si>
    <t>z世代：2.6%
小镇青年：16.4%
精致妈妈：7.7%
新锐白领：26.2%
都市蓝领：11.9%
小镇中老年：10.7%
资深中产：11.8%
都市银发：12.8%</t>
  </si>
  <si>
    <t>太太乐、爱他美、奇骏、TATA木门、石头、问界、劲酒、万家乐、奇骏、全友家私、滴滴、威猛先生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</si>
  <si>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</si>
  <si>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</si>
  <si>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</si>
  <si>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</si>
  <si>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</si>
  <si>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</si>
  <si>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</si>
  <si>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男：51.9%
女：48.1%</t>
  </si>
  <si>
    <t>18-23：35.9%
24-30：20.5%
31-40：23.9%</t>
  </si>
  <si>
    <t>Z世代：39.1%
新锐白领：9.3%
小镇青年：24.1%
精致妈妈：3.4%
资深中产：2.5%
都市蓝领：13.4%
小镇中老年：4.1%
都市银发：4.1%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</si>
  <si>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</si>
  <si>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</si>
  <si>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</si>
  <si>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</si>
  <si>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</si>
  <si>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</si>
  <si>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</si>
  <si>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男：65.4%
女：34.6%</t>
  </si>
  <si>
    <t>18-23：49.8%
24-30：21.7%
31-40：17%</t>
  </si>
  <si>
    <t>Z世代：48.3%
新锐白领：14.3%
小镇青年：20.7%
精致妈妈：2.1%
资深中产：3%
都市蓝领：8.1%
小镇中老年：2.1%
都市银发：1.5%</t>
  </si>
  <si>
    <t>珂拉琪、intoyou、蕉点、mistine、HBN、明治、肌活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</si>
  <si>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</si>
  <si>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</si>
  <si>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</si>
  <si>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</si>
  <si>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</si>
  <si>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</si>
  <si>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：9.8%
女 ：90.2%</t>
  </si>
  <si>
    <t>18-23：51.7%
24-30：29%
31-40：14.9%</t>
  </si>
  <si>
    <t>Z世代：35.2%
新锐白领：11.9%
小镇青年：25.2%
精致妈妈：7.1%
资深中产：1.4%
都市蓝领：16.8%
小镇中老年：1.4%
都市银发：1.1%</t>
  </si>
  <si>
    <t>一加、科颜氏、普润盈、滴滴、红谷女包、TATCHA精华水、BRNR、富士相机、伊利金典、可颂</t>
  </si>
  <si>
    <t>【运动】</t>
  </si>
  <si>
    <t>大圣爱跑步</t>
  </si>
  <si>
    <t>运动领域垂直KOL，有大量精准跑友粉丝，核心聚焦马拉松赛事与训练干货。“大圣”人设鲜明，兼具专业性与感染力，粉丝以年轻群体为主，付费意愿强。内容场景适配运动装备、营养补给、城市文旅等品类，植入自然不违和，是高转化、强共鸣的优质合作选择。</t>
  </si>
  <si>
    <t>运动、日常</t>
  </si>
  <si>
    <t>https://v.douyin.com/Wd-9v46EwOo/</t>
  </si>
  <si>
    <t>https://www.xingtu.cn/ad/creator/author-homepage/douyin-video/7437412455573094438?market_track_id=OZDXFB6LRY6IARAR1ZJR&amp;search_session_id=7577287979769987108&amp;possessStarId</t>
  </si>
  <si>
    <t>7437412455573094438</t>
  </si>
  <si>
    <t>乌鲁木齐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</si>
  <si>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</si>
  <si>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</si>
  <si>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</si>
  <si>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</si>
  <si>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</si>
  <si>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</si>
  <si>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</si>
  <si>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</si>
  <si>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男：48.3%   
女：51.7%</t>
  </si>
  <si>
    <t>18-23：34.9%
24-30：34.3%
31-40：26.5%</t>
  </si>
  <si>
    <t>Z世代：25.3%
新锐白领：16.7%
小镇青年：26.5%
精致妈妈：6.8%
资深中产：2.1%
都市蓝领：19.9%
小镇中老年：1.8%
都市银发：0.9%</t>
  </si>
  <si>
    <t>YSL、京东、PUMA、Adidas、逆水寒、饿了么、维他命水、梦幻西游、百事可乐、德克士、酷儿。百雀羚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</si>
  <si>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</si>
  <si>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</si>
  <si>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</si>
  <si>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颜值、舞蹈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</si>
  <si>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</si>
  <si>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</si>
  <si>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</si>
  <si>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男：49.6%
女：50.4%</t>
  </si>
  <si>
    <t>18-23：52%
24-30：29.8%
31-40：15%</t>
  </si>
  <si>
    <t>Z世代：37.3%
新锐白领：17.4%
小镇青年：24.6%
精致妈妈：2.3%
资深中产：1.3%
都市蓝领：15.7%
小镇中老年：0.9%
都市银发：0.4%</t>
  </si>
  <si>
    <t>逆水寒、海尔</t>
  </si>
  <si>
    <t>鹿儿er</t>
  </si>
  <si>
    <t>甜萌舞力少女，灵动俏皮似邻家，无缝接轨服饰美妆游戏圈，魅力破圈，未来无限。</t>
  </si>
  <si>
    <t>Yaya55688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</si>
  <si>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</si>
  <si>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</si>
  <si>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</si>
  <si>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男：91.6%
女：8.4%</t>
  </si>
  <si>
    <t>18-23：47%
24-30：32%
31-40：16.6%</t>
  </si>
  <si>
    <t>Z世代：32.6%
新锐白领：18.8%
小镇青年：24.7%
精致妈妈：0.5%
资深中产：1.4%
都市蓝领：19.3%
小镇中老年：1.6%
都市银发：1.1%</t>
  </si>
  <si>
    <t>最美天气贴纸、水井坊、洋河、特步、MG7、梦幻西游、伊利、传祺、王者荣耀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</si>
  <si>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</si>
  <si>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</si>
  <si>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</si>
  <si>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</si>
  <si>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</si>
  <si>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</si>
  <si>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</si>
  <si>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</si>
  <si>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男：93.4%
女：6.6%</t>
  </si>
  <si>
    <t>18-23：10.3%
24-30：27.2%
31-40：42.7%</t>
  </si>
  <si>
    <t>Z世代：6.4%
新锐白领：30.7%
小镇青年：17.6%
精致妈妈：0.6%
资深中产：9.4%
都市蓝领：20.2%
小镇中老年：7.9%
都市银发：7.2%</t>
  </si>
  <si>
    <t>去哪儿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</si>
  <si>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</si>
  <si>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</si>
  <si>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</si>
  <si>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</si>
  <si>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</si>
  <si>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</si>
  <si>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男：85.7%
女：14.3%</t>
  </si>
  <si>
    <t>18-23：22.6%
24-30：33.6%
31-40：33.4%</t>
  </si>
  <si>
    <t>Z世代：12.2%
新锐白领：24.5%
小镇青年：28.9%
精致妈妈：1.3%
资深中产：4.5%
都市蓝领：20.6%
小镇中老年：5.5%
都市银发：2.5%</t>
  </si>
  <si>
    <t>网易、探探、ulike、逆水寒、和平精英、时光杂货店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</si>
  <si>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</si>
  <si>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</si>
  <si>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</si>
  <si>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</si>
  <si>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</si>
  <si>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：47.9%  
男 ：52.1%</t>
  </si>
  <si>
    <t>18-23：25.8%
24-30：26.8%
31-40：30.6%</t>
  </si>
  <si>
    <t>Z世代：22.4%
新锐白领：12.2%
小镇青年：25.3%
精致妈妈：4.4%
资深中产：2.4%
都市蓝领：21.5%
小镇中老年：6.1%
都市银发：5.7%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</si>
  <si>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</si>
  <si>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</si>
  <si>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</si>
  <si>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</si>
  <si>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</si>
  <si>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</si>
  <si>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</si>
  <si>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男：28%
女：72%</t>
  </si>
  <si>
    <t>18-23：49.5%
24-30：31.1%
31-40：15.4%</t>
  </si>
  <si>
    <t>Z世代：33.5%
新锐白领：16.9%
小镇青年：22%
精致妈妈：9.6%
资深中产：1.9%
都市蓝领：14%
小镇中老年：1.2%
都市银发：0.9%</t>
  </si>
  <si>
    <t>柚竹、ulike、网易飞天舞、新奇士、恋与深空、长虹、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</si>
  <si>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</si>
  <si>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</si>
  <si>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</si>
  <si>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</si>
  <si>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</si>
  <si>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</si>
  <si>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男：87.3%
女：12.7%</t>
  </si>
  <si>
    <t>18-23：21.3%
24-30：39%
31-40：32.7%</t>
  </si>
  <si>
    <t>Z世代：14.7%
新锐白领：29.5%
小镇青年：23.3%
精致妈妈：1.1%
资深中产：3.9%
都市蓝领：22.8%
小镇中老年：2.8%
都市银发：1.7%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</si>
  <si>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</si>
  <si>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</si>
  <si>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</si>
  <si>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</si>
  <si>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</si>
  <si>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</si>
  <si>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</si>
  <si>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：73.8%
女 ：26.2%</t>
  </si>
  <si>
    <t>18-23：25.5%
24-30：36.8%
31-40：30%</t>
  </si>
  <si>
    <t>Z世代：15.1%
新锐白领：27.4%
小镇青年：23.4%
精致妈妈：3.4%
资深中产：3.3%
都市蓝领：21.4%
小镇中老年：3.3%
都市银发：2.8%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</si>
  <si>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</si>
  <si>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</si>
  <si>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</si>
  <si>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</si>
  <si>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</si>
  <si>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</si>
  <si>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</si>
  <si>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</si>
  <si>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</si>
  <si>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</si>
  <si>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</si>
  <si>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</si>
  <si>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</si>
  <si>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变装</t>
  </si>
  <si>
    <t>刀小刀sama</t>
  </si>
  <si>
    <t>超头部颜值达人</t>
  </si>
  <si>
    <t>xxx_One1</t>
  </si>
  <si>
    <t>颜值、变装</t>
  </si>
  <si>
    <t>https://v.douyin.com/EoRCNC/</t>
  </si>
  <si>
    <t>阿玛尼、OLAY、乌苏、伊利、VIVO、波司登、、凯迪拉克、哈弗、东风日产</t>
  </si>
  <si>
    <t>三喜爷爷</t>
  </si>
  <si>
    <t>一个喜爱表演的西北爷爷</t>
  </si>
  <si>
    <t>sanxiyeye</t>
  </si>
  <si>
    <t>剧情、变装</t>
  </si>
  <si>
    <t>https://v.douyin.com/idgFtebK/</t>
  </si>
  <si>
    <t>兰州</t>
  </si>
  <si>
    <t>Sheep羊崽</t>
  </si>
  <si>
    <t>来自医学院的帅气少年</t>
  </si>
  <si>
    <t>https://v.douyin.com/F52xKBj/</t>
  </si>
  <si>
    <t>小米、云南白药</t>
  </si>
  <si>
    <t>徐三柒</t>
  </si>
  <si>
    <t>多元题材的剧情达人</t>
  </si>
  <si>
    <t>xusan777</t>
  </si>
  <si>
    <t>https://v.douyin.com/bmOwXBxZVL0/</t>
  </si>
  <si>
    <t>淘淘氧棉、膜法世家、</t>
  </si>
  <si>
    <t>管家小葛</t>
  </si>
  <si>
    <t>专注分享职业生活与心得</t>
  </si>
  <si>
    <t>butleralexge</t>
  </si>
  <si>
    <t>日常、剧情</t>
  </si>
  <si>
    <t>https://v.douyin.com/i5WxXkUV/</t>
  </si>
  <si>
    <t>深蓝、华为、英菲尼迪</t>
  </si>
  <si>
    <t>杭州/国外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</si>
  <si>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</si>
  <si>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</si>
  <si>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</si>
  <si>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</si>
  <si>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</si>
  <si>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美食</t>
  </si>
  <si>
    <t>阿财没饭吃</t>
  </si>
  <si>
    <t>以“食材拟人化”微距镜头打造视觉奇观</t>
  </si>
  <si>
    <t>CDBykx218078</t>
  </si>
  <si>
    <t>创意TVC、美食</t>
  </si>
  <si>
    <t>https://v.douyin.com/ijRaTmKu/</t>
  </si>
  <si>
    <t>云鲸、自由点、乐品乐茶、康夫、三养、出发吧麦芬</t>
  </si>
  <si>
    <t>萌宠</t>
  </si>
  <si>
    <t>起错名的四毛</t>
  </si>
  <si>
    <t>金毛四毛和毛爸之间的逗趣日常</t>
  </si>
  <si>
    <t>simao126</t>
  </si>
  <si>
    <t>萌宠、日常</t>
  </si>
  <si>
    <t>https://v.douyin.com/FukGc9y/</t>
  </si>
  <si>
    <t>诺亚、比乐、海尔、唯品会、淘宝、顽皮冻干、天猫家电、雪花啤酒</t>
  </si>
  <si>
    <t>莆田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</si>
  <si>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</si>
  <si>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</si>
  <si>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</si>
  <si>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</si>
  <si>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</si>
  <si>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</si>
  <si>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小三金</t>
  </si>
  <si>
    <t>都市剧情｜穿越反转｜职场情感</t>
  </si>
  <si>
    <t>Sanjin08.18</t>
  </si>
  <si>
    <t>https://v.douyin.com/i2RS3sn4/ 5@1.com</t>
  </si>
  <si>
    <t>辽宁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</si>
  <si>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</si>
  <si>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</si>
  <si>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</si>
  <si>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</si>
  <si>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</si>
  <si>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</si>
  <si>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</si>
  <si>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</si>
  <si>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</si>
  <si>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</si>
  <si>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</si>
  <si>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阿鸡</t>
  </si>
  <si>
    <t>带你打卡东京热门美食</t>
  </si>
  <si>
    <t>JI676767</t>
  </si>
  <si>
    <t>探店、旅行</t>
  </si>
  <si>
    <t>https://v.douyin.com/Mso7q78/</t>
  </si>
  <si>
    <t>阿里巴巴、杰士派、得物、真快乐、点淘</t>
  </si>
  <si>
    <t>东京</t>
  </si>
  <si>
    <t>这货不是洋少琪</t>
  </si>
  <si>
    <t>和朋友斗智斗勇的生活日常</t>
  </si>
  <si>
    <t>段子、日常</t>
  </si>
  <si>
    <t>https://v.douyin.com/iFnqKRPt/ 5@4.com</t>
  </si>
  <si>
    <t>东风日产、雪花啤酒、上汽大众、伊利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</si>
  <si>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</si>
  <si>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</si>
  <si>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</si>
  <si>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</si>
  <si>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</si>
  <si>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</si>
  <si>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</si>
  <si>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</si>
  <si>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</si>
  <si>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</si>
  <si>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</si>
  <si>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</si>
  <si>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</si>
  <si>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阿日</t>
  </si>
  <si>
    <t>清透美少女</t>
  </si>
  <si>
    <t>Taoosii</t>
  </si>
  <si>
    <t>日常、vlog</t>
  </si>
  <si>
    <t>https://v.douyin.com/idbgpq8H/</t>
  </si>
  <si>
    <t>长沙，原神、王者荣耀、兰蔻、ysl、hbn、五菱宏光、比亚迪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</si>
  <si>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</si>
  <si>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</si>
  <si>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</si>
  <si>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</si>
  <si>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</si>
  <si>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</si>
  <si>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</si>
  <si>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</si>
  <si>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</si>
  <si>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财经</t>
  </si>
  <si>
    <t>朴素之道</t>
  </si>
  <si>
    <t>看看真实世界的游戏规则； 聊聊学习成长与孩子教育。</t>
  </si>
  <si>
    <t>pusucaijing</t>
  </si>
  <si>
    <t>https://v.douyin.com/b6GOMqiezVg/</t>
  </si>
  <si>
    <t>瑷尔博士、舒适达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</si>
  <si>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</si>
  <si>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</si>
  <si>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</si>
  <si>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</si>
  <si>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</si>
  <si>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</si>
  <si>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</si>
  <si>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测评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</si>
  <si>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</si>
  <si>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</si>
  <si>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</si>
  <si>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</si>
  <si>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</si>
  <si>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</si>
  <si>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</si>
  <si>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</si>
  <si>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</si>
  <si>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</si>
  <si>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</si>
  <si>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</si>
  <si>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</si>
  <si>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</si>
  <si>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</si>
  <si>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</si>
  <si>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</si>
  <si>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</si>
  <si>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</si>
  <si>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</si>
  <si>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</si>
  <si>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</si>
  <si>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</si>
  <si>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</si>
  <si>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</si>
  <si>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</si>
  <si>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</si>
  <si>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</si>
  <si>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</si>
  <si>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木 木</t>
  </si>
  <si>
    <t>情侣账号女主角，颜值类达人，适合行业：美妆、服饰、游戏等</t>
  </si>
  <si>
    <t>satrll</t>
  </si>
  <si>
    <t>https://v.douyin.com/iM2BnUWc/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</si>
  <si>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</si>
  <si>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</si>
  <si>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</si>
  <si>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</si>
  <si>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</si>
  <si>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源来凌晨</t>
  </si>
  <si>
    <t>喜爱打篮球的酷帅少年</t>
  </si>
  <si>
    <t>hd210625</t>
  </si>
  <si>
    <t>https://v.douyin.com/i6jxhjWt/ 0@5.com</t>
  </si>
  <si>
    <t>荣耀、太平鸟、一嗨租车、博越COOL、蛋仔派对</t>
  </si>
  <si>
    <t>廖健淇</t>
  </si>
  <si>
    <t>小说里的邻家少年</t>
  </si>
  <si>
    <t>ljq20010110</t>
  </si>
  <si>
    <t>https://v.douyin.com/iLXhmbEv/</t>
  </si>
  <si>
    <t>君乐宝</t>
  </si>
  <si>
    <t>东东</t>
  </si>
  <si>
    <t>分享各类日常碎片</t>
  </si>
  <si>
    <t>Gravitywell</t>
  </si>
  <si>
    <t>https://v.douyin.com/iJBkt6n2/</t>
  </si>
  <si>
    <t>珀莱雅、小米civi1s、小米12s、moody等</t>
  </si>
  <si>
    <t>蛋炒饭🥚</t>
  </si>
  <si>
    <t>清冷感女主上线</t>
  </si>
  <si>
    <t>E59827</t>
  </si>
  <si>
    <t>https://v.douyin.com/hL3oFpS/</t>
  </si>
  <si>
    <t>恒安超品挑战赛、西门子、吉利汽车、lamer</t>
  </si>
  <si>
    <t>日照</t>
  </si>
  <si>
    <t>做夢</t>
  </si>
  <si>
    <t>展现各类做饭+摆盘小技巧</t>
  </si>
  <si>
    <t>Ricardo1999</t>
  </si>
  <si>
    <t>美食、颜值</t>
  </si>
  <si>
    <t>https://v.douyin.com/iCQLdBJ/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</si>
  <si>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</si>
  <si>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</si>
  <si>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</si>
  <si>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</si>
  <si>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</si>
  <si>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</si>
  <si>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车圈小晨</t>
  </si>
  <si>
    <t>专业汽车解说、热爱玩车的汽车编辑</t>
  </si>
  <si>
    <t>https://v.douyin.com/d92Ym7m/</t>
  </si>
  <si>
    <t>奥迪、别克、丰田、本田、Jeep、一汽大众、领克、福特、魏、智己、长安深蓝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</si>
  <si>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</si>
  <si>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</si>
  <si>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</si>
  <si>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</si>
  <si>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</si>
  <si>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</si>
  <si>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</si>
  <si>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</si>
  <si>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</si>
  <si>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</si>
  <si>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</si>
  <si>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</si>
  <si>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</si>
  <si>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</si>
  <si>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</si>
  <si>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</si>
  <si>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</si>
  <si>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</si>
  <si>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</si>
  <si>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</si>
  <si>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</si>
  <si>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</si>
  <si>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</si>
  <si>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</si>
  <si>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</si>
  <si>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</si>
  <si>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</si>
  <si>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</si>
  <si>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</si>
  <si>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</si>
  <si>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</si>
  <si>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</si>
  <si>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</si>
  <si>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</si>
  <si>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audrii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</si>
  <si>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</si>
  <si>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</si>
  <si>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</si>
  <si>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</si>
  <si>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</si>
  <si>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</si>
  <si>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</si>
  <si>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</si>
  <si>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</si>
  <si>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</si>
  <si>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</si>
  <si>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</si>
  <si>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</si>
  <si>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</si>
  <si>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</si>
  <si>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</si>
  <si>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</si>
  <si>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</si>
  <si>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</si>
  <si>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</si>
  <si>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</si>
  <si>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</si>
  <si>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</si>
  <si>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</si>
  <si>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</si>
  <si>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</si>
  <si>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</si>
  <si>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</si>
  <si>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</si>
  <si>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</si>
  <si>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</si>
  <si>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</si>
  <si>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</si>
  <si>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</si>
  <si>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</si>
  <si>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</si>
  <si>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</si>
  <si>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生活观察员｜用镜头捕捉日常里的小点滴｜用简单方式解锁生活乐趣</t>
  </si>
  <si>
    <t>日常/创意/剧情</t>
  </si>
  <si>
    <t>https://www.xiaohongshu.com/user/profile/5988a08250c4b438e2221e0d</t>
  </si>
  <si>
    <t>https://pgy.xiaohongshu.com/solar/pre-trade/blogger-detail/5988a08250c4b438e2221e0d?track_id=kolSearch_968f0410d7154a91a274acdd686dea65&amp;source=Advertiser_Kol</t>
  </si>
  <si>
    <t>xiaoxin8_8</t>
  </si>
  <si>
    <t>摄影｜手工创意📸💡 定格美好の灵感制造机</t>
  </si>
  <si>
    <t>手工/创意制作/摄影</t>
  </si>
  <si>
    <t>https://www.xiaohongshu.com/user/profile/62efa5f7000000001f005b9a?xsec_token=YBd-vS5sMOuCxh9m-6YHFO4uiMN2r-upH5aaCEF_Q33Ms=&amp;xsec_source=app_share&amp;xhsshare=CopyLink&amp;appuid=5f6887c9000000000100b2fc&amp;apptime=1749543031&amp;share_id=ed0cb645c4b24686ba1737e9868cbca2</t>
  </si>
  <si>
    <t>https://pgy.xiaohongshu.com/solar/pre-trade/blogger-detail/62efa5f7000000001f005b9a?track_id=kolSearch_62241b1dd4594800a7785e1e3f10022c&amp;source=Advertiser_Kol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</si>
  <si>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</si>
  <si>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</si>
  <si>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</si>
  <si>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</si>
  <si>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</si>
  <si>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飞飞LF</t>
  </si>
  <si>
    <t>短剧演员 | 独居生活 | 城市探店</t>
  </si>
  <si>
    <t>日常/探店/剧情</t>
  </si>
  <si>
    <t>https://www.xiaohongshu.com/user/profile/5f685cfe0000000001007dcb</t>
  </si>
  <si>
    <t>https://pgy.xiaohongshu.com/solar/pre-trade/blogger-detail/5f685cfe0000000001007dcb?track_id=</t>
  </si>
  <si>
    <t>职业管家导师 | 生活美学践行者
🌟 英国管家专业海归，27岁任管家培训学校校长！专注分享高效生活技巧、高端服务细节，从收纳到宴请礼仪，干货满满～</t>
  </si>
  <si>
    <t>日常/随拍/测评/好物分享</t>
  </si>
  <si>
    <t>分发40000</t>
  </si>
  <si>
    <t>https://www.xiaohongshu.com/user/profile/5e5b7cfc0000000001008cc9?xsec_token=YBbKKN6nVkufj08exnHTM2ZjSXanzjAeJv16sdRtVOIHQ=&amp;xsec_source=app_share&amp;xhsshare=CopyLink&amp;appuid=5f6887c9000000000100b2fc&amp;apptime=1742541405&amp;share_id=d7bb17681d794c69b09453de08d40d1e</t>
  </si>
  <si>
    <t>https://pgy.xiaohongshu.com/solar/pre-trade/blogger-detail/5e5b7cfc0000000001008cc9?track_id=kolSearch_6b5730c78d854c8f8faea2ad6e85c415&amp;source=Advertiser_Kol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</si>
  <si>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</si>
  <si>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</si>
  <si>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</si>
  <si>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</si>
  <si>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小雪日记（初夏版）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</si>
  <si>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</si>
  <si>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</si>
  <si>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</si>
  <si>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</si>
  <si>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</si>
  <si>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</si>
  <si>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</si>
  <si>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</si>
  <si>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</si>
  <si>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</si>
  <si>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</si>
  <si>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</si>
  <si>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</si>
  <si>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</si>
  <si>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</si>
  <si>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</si>
  <si>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</si>
  <si>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</si>
  <si>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</si>
  <si>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</si>
  <si>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</si>
  <si>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</si>
  <si>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</si>
  <si>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</si>
  <si>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</si>
  <si>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</si>
  <si>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</si>
  <si>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</si>
  <si>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</si>
  <si>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</si>
  <si>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</si>
  <si>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</si>
  <si>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</si>
  <si>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</si>
  <si>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</si>
  <si>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</si>
  <si>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九九我啊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</si>
  <si>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</si>
  <si>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</si>
  <si>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</si>
  <si>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</si>
  <si>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</si>
  <si>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</si>
  <si>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</si>
  <si>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</si>
  <si>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</si>
  <si>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</si>
  <si>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</si>
  <si>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</si>
  <si>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</si>
  <si>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忘崽夫妇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</si>
  <si>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</si>
  <si>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</si>
  <si>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</si>
  <si>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</si>
  <si>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Q秦文龙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</si>
  <si>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</si>
  <si>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</si>
  <si>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</si>
  <si>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</si>
  <si>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嘿人李逵</t>
  </si>
  <si>
    <t>加纳籍成都女婿 | 中文说唱达人 | 跨文化内容创作者 | 正能量国际网红</t>
  </si>
  <si>
    <t>唱歌/日常</t>
  </si>
  <si>
    <t>https://www.xiaohongshu.com/user/profile/5b88b4da0d26190001bfd0e8?xhsshare=CopyLink&amp;appuid=5f6887c9000000000100b2fc&amp;apptime=1676623879</t>
  </si>
  <si>
    <t>https://pgy.xiaohongshu.com/solar/pre-trade/blogger-detail/5b88b4da0d26190001bfd0e8?track_id=kolSearch_bce217027a71405d9fc4804dadb17e0c&amp;source=Advertiser_Kol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</si>
  <si>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</si>
  <si>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</si>
  <si>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</si>
  <si>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</si>
  <si>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</si>
  <si>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</si>
  <si>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</si>
  <si>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</si>
  <si>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</si>
  <si>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</si>
  <si>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</si>
  <si>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</si>
  <si>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</si>
  <si>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</si>
  <si>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</si>
  <si>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</si>
  <si>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</si>
  <si>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</si>
  <si>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</si>
  <si>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</si>
  <si>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</si>
  <si>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</si>
  <si>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</si>
  <si>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</si>
  <si>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</si>
  <si>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</si>
  <si>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</si>
  <si>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</si>
  <si>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直男日常 | 情侣生活+穿搭指南 | 生活分享者</t>
  </si>
  <si>
    <t>时尚/颜值</t>
  </si>
  <si>
    <t>https://www.xiaohongshu.com/user/profile/5c9187d70000000011009340?xhsshare=CopyLink&amp;appuid=5f6887c9000000000100b2fc&amp;apptime=1689591526</t>
  </si>
  <si>
    <t>https://pgy.xiaohongshu.com/solar/pre-trade/blogger-detail/5c9187d70000000011009340?track_id=kolSearch_3c260d82929647958415a94a180bb98d&amp;source=Advertiser_Kol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</si>
  <si>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</si>
  <si>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</si>
  <si>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</si>
  <si>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</si>
  <si>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</si>
  <si>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</si>
  <si>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</si>
  <si>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</si>
  <si>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</si>
  <si>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</si>
  <si>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</si>
  <si>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</si>
  <si>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</si>
  <si>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</si>
  <si>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</si>
  <si>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</si>
  <si>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</si>
  <si>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</si>
  <si>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</si>
  <si>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</si>
  <si>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</si>
  <si>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</si>
  <si>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</si>
  <si>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</si>
  <si>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</si>
  <si>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</si>
  <si>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</si>
  <si>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</si>
  <si>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</si>
  <si>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</si>
  <si>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</si>
  <si>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</si>
  <si>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</si>
  <si>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</si>
  <si>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</si>
  <si>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</si>
  <si>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</si>
  <si>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</si>
  <si>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</si>
  <si>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</si>
  <si>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</si>
  <si>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</si>
  <si>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</si>
  <si>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</si>
  <si>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</si>
  <si>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</si>
  <si>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</si>
  <si>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</si>
  <si>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</si>
  <si>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</si>
  <si>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</si>
  <si>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</si>
  <si>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</si>
  <si>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【OST传媒】懂车帝达人报价</t>
  </si>
  <si>
    <t>账号类型</t>
  </si>
  <si>
    <t>懂车帝账号</t>
  </si>
  <si>
    <t>粉丝（W）</t>
  </si>
  <si>
    <t>懂车帝价格</t>
  </si>
  <si>
    <t>分发视频价格</t>
  </si>
  <si>
    <t>主页链接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</si>
  <si>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</si>
  <si>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</si>
  <si>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</si>
  <si>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</si>
  <si>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</si>
  <si>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</si>
  <si>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</si>
  <si>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</si>
  <si>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【OST传媒】微信视频号报价</t>
  </si>
  <si>
    <t>微信视频账号</t>
  </si>
  <si>
    <t>视频号ID</t>
  </si>
  <si>
    <t>视频号价格</t>
  </si>
  <si>
    <t>互选平台</t>
  </si>
  <si>
    <t>sphR3gl9H3agbmG</t>
  </si>
  <si>
    <t>已开通</t>
  </si>
  <si>
    <t>音乐</t>
  </si>
  <si>
    <t>嘿人李逵Noisemakers</t>
  </si>
  <si>
    <t>sphgDSfZBP4UW4m</t>
  </si>
  <si>
    <t>未开通</t>
  </si>
  <si>
    <t>国舞宛庭</t>
  </si>
  <si>
    <t>sphRsMNnuSLmxSg</t>
  </si>
  <si>
    <t>sphbntTTy9cm8ZN</t>
  </si>
  <si>
    <t>刘焌棚-Rafael</t>
  </si>
  <si>
    <t>sphaFY5P2611uIW</t>
  </si>
  <si>
    <t>靖雅欧巴呀</t>
  </si>
  <si>
    <t>sphhiYMMIbxt5nL</t>
  </si>
  <si>
    <t>亲子</t>
  </si>
  <si>
    <t>sphu5HQJ7T1wcwr</t>
  </si>
  <si>
    <t>李里来了</t>
  </si>
  <si>
    <t>sphVegXTyvrzrKJ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</si>
  <si>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</si>
  <si>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</si>
  <si>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</si>
  <si>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</si>
  <si>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</si>
  <si>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</si>
  <si>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</si>
  <si>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</si>
  <si>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sphQaxOteNPshI4</t>
  </si>
  <si>
    <t>晨晓义很OK</t>
  </si>
  <si>
    <t>sph6zyxP3bQOA7v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</si>
  <si>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</si>
  <si>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</si>
  <si>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</si>
  <si>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</si>
  <si>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</si>
  <si>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</si>
  <si>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</si>
  <si>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比格费西Bigfish</t>
  </si>
  <si>
    <t>sphzdj3iicSBAXx</t>
  </si>
  <si>
    <t>HeTianL</t>
  </si>
  <si>
    <t>sphfrTuz0WTVL3f</t>
  </si>
  <si>
    <t>秦文龙wl</t>
  </si>
  <si>
    <t>sphFVx4zeCpblPc</t>
  </si>
  <si>
    <t>连蜜呀520a</t>
  </si>
  <si>
    <t>sphx39g8I8Js6pE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</si>
  <si>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</si>
  <si>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</si>
  <si>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</si>
  <si>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</si>
  <si>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</si>
  <si>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</si>
  <si>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</si>
  <si>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</si>
  <si>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</si>
  <si>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变装、剧情</t>
  </si>
  <si>
    <t>https://live.kuaishou.com/profile/3xi4apqvqnf7g7y</t>
  </si>
  <si>
    <t>https://live.kuaishou.com/profile/Handsomeht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</si>
  <si>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</si>
  <si>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</si>
  <si>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</si>
  <si>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</si>
  <si>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</si>
  <si>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</si>
  <si>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剧情、段子</t>
  </si>
  <si>
    <t>https://v.kuaishou.com/nuLqSDG3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</si>
  <si>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</si>
  <si>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</si>
  <si>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</si>
  <si>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</si>
  <si>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</si>
  <si>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</si>
  <si>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</si>
  <si>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</si>
  <si>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</si>
  <si>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22000（分发）</t>
  </si>
  <si>
    <t>https://live.kuaishou.com/profile/zhousanshi0818</t>
  </si>
  <si>
    <t>丁啊叮dd</t>
  </si>
  <si>
    <t>https://live.kuaishou.com/profile/3xjjzysswd2hqqm</t>
  </si>
  <si>
    <t>https://live.kuaishou.com/profile/bigefeixi</t>
  </si>
  <si>
    <t>颜值、小哥哥</t>
  </si>
  <si>
    <t>150000
（直播1h30000）</t>
  </si>
  <si>
    <t>https://live.kuaishou.com/profile/ygxdwl666</t>
  </si>
  <si>
    <t>颜值，变装</t>
  </si>
  <si>
    <t>https://live.kuaishou.com/profile/Xiaxia977</t>
  </si>
  <si>
    <t>https://live.kuaishou.com/profile/yihang112244</t>
  </si>
  <si>
    <t>https://live.kuaishou.com/profile/xrr888006</t>
  </si>
  <si>
    <t>https://v.kuaishou.com/kpTXgm</t>
  </si>
  <si>
    <t>xxy1129xy</t>
  </si>
  <si>
    <t>https://live.kuaishou.com/profile/xxy1129xy</t>
  </si>
  <si>
    <t>嘿 黄锐铨</t>
  </si>
  <si>
    <t>https://live.kuaishou.com/profile/A77777774_</t>
  </si>
  <si>
    <t>洛丽塔大哥lo</t>
  </si>
  <si>
    <t>https://v.kuaishou.com/iTF8WX</t>
  </si>
  <si>
    <t>二次元</t>
  </si>
  <si>
    <t>小年Nian（导演，演员</t>
  </si>
  <si>
    <t>开通中</t>
  </si>
  <si>
    <t>https://live.kuaishou.com/profile/Thesmallyear</t>
  </si>
  <si>
    <t>情侣</t>
  </si>
  <si>
    <t>晨晓义（解忧剧场）</t>
  </si>
  <si>
    <t>情侣、段子</t>
  </si>
  <si>
    <t>https://live.kuaishou.com/profile/KK13881688</t>
  </si>
  <si>
    <t>侯博</t>
  </si>
  <si>
    <t>https://v.kuaishou.com/KIJDmKoP</t>
  </si>
  <si>
    <t>北京
成都</t>
  </si>
  <si>
    <t>https://v.kuaishou.com/JfESauIY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</si>
  <si>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</si>
  <si>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</si>
  <si>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</si>
  <si>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</si>
  <si>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</si>
  <si>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</si>
  <si>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</si>
  <si>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</si>
  <si>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</si>
  <si>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</si>
  <si>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</si>
  <si>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</si>
  <si>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</si>
  <si>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</si>
  <si>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</si>
  <si>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https://b23.tv/5RDMxVH</t>
  </si>
  <si>
    <t>50000
20000（分发）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</si>
  <si>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</si>
  <si>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</si>
  <si>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</si>
  <si>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</si>
  <si>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</si>
  <si>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</si>
  <si>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</si>
  <si>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</si>
  <si>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</si>
  <si>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</si>
  <si>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</si>
  <si>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</si>
  <si>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</si>
  <si>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</si>
  <si>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</si>
  <si>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</si>
  <si>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</si>
  <si>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</si>
  <si>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</si>
  <si>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</si>
  <si>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</si>
  <si>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</si>
  <si>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朱朱朱</t>
  </si>
  <si>
    <t>https://v.douyin.com/mQXUpIr3xO0/</t>
  </si>
  <si>
    <t>https://www.xingtu.cn/ad/creator/author-homepage/douyin-video/7076403130594033678?market_track_id=P8TI4U0ZI419EIVFDDYY&amp;search_session_id=7550213941088731178&amp;possessStarId</t>
  </si>
  <si>
    <t>OKCS发膜、foreverkey发际线泥、美图秀秀</t>
  </si>
  <si>
    <t>kuikuijia2019</t>
  </si>
  <si>
    <t>音乐、说唱</t>
  </si>
  <si>
    <t>https://v.douyin.com/jcNSUkH/</t>
  </si>
  <si>
    <t>https://www.xingtu.cn/ad/creator/author-homepage/douyin-video/6596677802471194632?market_track_id=7K3P848J94AIY0B8HVXG&amp;search_session_id=7550214716455993398&amp;possessStarId</t>
  </si>
  <si>
    <t>乐堡、肯德基、江小白、百事可乐、淘宝、天猫、长城、凯迪拉克、哈弗、乌江寨景区、《第二十条》电影宣发</t>
  </si>
  <si>
    <t>刘欣悦🎤</t>
  </si>
  <si>
    <t>liuxinyueaichang</t>
  </si>
  <si>
    <t>音乐、翻唱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</si>
  <si>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</si>
  <si>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</si>
  <si>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</si>
  <si>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韦康vico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</si>
  <si>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</si>
  <si>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</si>
  <si>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</si>
  <si>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</si>
  <si>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科颜氏、雅诗兰黛、自然堂、HBN、广汽丰田、吉利、梦幻新诛仙、安慕希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</si>
  <si>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</si>
  <si>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</si>
  <si>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</si>
  <si>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</si>
  <si>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</si>
  <si>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</si>
  <si>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</si>
  <si>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</si>
  <si>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</si>
  <si>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</si>
  <si>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</si>
  <si>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</si>
  <si>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</si>
  <si>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</si>
  <si>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</si>
  <si>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</si>
  <si>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</si>
  <si>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</si>
  <si>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</si>
  <si>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</si>
  <si>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</si>
  <si>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</si>
  <si>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</si>
  <si>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</si>
  <si>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</si>
  <si>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</si>
  <si>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</si>
  <si>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</si>
  <si>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</si>
  <si>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</si>
  <si>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</si>
  <si>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</si>
  <si>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</si>
  <si>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</si>
  <si>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</si>
  <si>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</si>
  <si>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于洋2.0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</si>
  <si>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</si>
  <si>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</si>
  <si>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</si>
  <si>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</si>
  <si>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</si>
  <si>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</si>
  <si>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</si>
  <si>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</si>
  <si>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</si>
  <si>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</si>
  <si>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</si>
  <si>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</si>
  <si>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</si>
  <si>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</si>
  <si>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</si>
  <si>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</si>
  <si>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</si>
  <si>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</si>
  <si>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</si>
  <si>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</si>
  <si>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</si>
  <si>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</si>
  <si>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</si>
  <si>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</si>
  <si>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</si>
  <si>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ygxdwl666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</si>
  <si>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</si>
  <si>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</si>
  <si>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</si>
  <si>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</si>
  <si>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</si>
  <si>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</si>
  <si>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</si>
  <si>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</si>
  <si>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</si>
  <si>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</si>
  <si>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</si>
  <si>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</si>
  <si>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</si>
  <si>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</si>
  <si>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</si>
  <si>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</si>
  <si>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</si>
  <si>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</si>
  <si>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</si>
  <si>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</si>
  <si>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</si>
  <si>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</si>
  <si>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温在源Aikey</t>
  </si>
  <si>
    <t>Wen0115</t>
  </si>
  <si>
    <t>https://v.douyin.com/hqXeQ5d/</t>
  </si>
  <si>
    <t>https://www.xingtu.cn/ad/creator/author-homepage/douyin-video/6742066222692565006?market_track_id=FZADQ8CXP9WR64C04VUF&amp;search_session_id=7550219814963724307&amp;possessStarId</t>
  </si>
  <si>
    <t>觅光AMIRO、海尔智家、卡西欧、拼多多、成都文殊坊、Mistine、德克士、蛋仔派对、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</si>
  <si>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</si>
  <si>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</si>
  <si>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</si>
  <si>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</si>
  <si>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</si>
  <si>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</si>
  <si>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</si>
  <si>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</si>
  <si>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</si>
  <si>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</si>
  <si>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</si>
  <si>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</si>
  <si>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</si>
  <si>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</si>
  <si>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</si>
  <si>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</si>
  <si>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</si>
  <si>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</si>
  <si>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</si>
  <si>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</si>
  <si>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</si>
  <si>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</si>
  <si>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葡葡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</si>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</sst>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&quot;.&quot;0,&quot;万&quot;"/>
    <numFmt numFmtId="178" formatCode="&quot;￥&quot;#,##0_);[Red]\(&quot;￥&quot;#,##0\)"/>
    <numFmt numFmtId="179" formatCode="#,##0;[Red]#,##0"/>
    <numFmt numFmtId="180" formatCode="0;[Red]0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b/>
      <sz val="9"/>
      <color rgb="FF000000"/>
      <name val="微软雅黑"/>
      <charset val="134"/>
    </font>
    <font>
      <sz val="18"/>
      <color theme="0"/>
      <name val="微软雅黑"/>
      <charset val="134"/>
    </font>
    <font>
      <b/>
      <sz val="10"/>
      <color rgb="FFFF000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sz val="9"/>
      <color rgb="FFFF0000"/>
      <name val="微软雅黑"/>
      <charset val="134"/>
    </font>
    <font>
      <sz val="9"/>
      <color rgb="FF08090C"/>
      <name val="宋体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b/>
      <sz val="10"/>
      <color rgb="FF08090C"/>
      <name val="微软雅黑"/>
      <charset val="134"/>
    </font>
    <font>
      <b/>
      <sz val="8"/>
      <color rgb="FF08090C"/>
      <name val="微软雅黑 Light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宋体-简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4E6E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1" borderId="19" applyNumberFormat="0" applyAlignment="0" applyProtection="0">
      <alignment vertical="center"/>
    </xf>
    <xf numFmtId="0" fontId="48" fillId="7" borderId="20" applyNumberFormat="0" applyAlignment="0" applyProtection="0">
      <alignment vertical="center"/>
    </xf>
    <xf numFmtId="0" fontId="49" fillId="7" borderId="19" applyNumberFormat="0" applyAlignment="0" applyProtection="0">
      <alignment vertical="center"/>
    </xf>
    <xf numFmtId="0" fontId="50" fillId="32" borderId="21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8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6" fontId="5" fillId="4" borderId="0" xfId="0" applyNumberFormat="1" applyFont="1" applyFill="1" applyBorder="1" applyAlignment="1">
      <alignment horizontal="center" vertical="center" wrapText="1"/>
    </xf>
    <xf numFmtId="6" fontId="5" fillId="4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5" fillId="4" borderId="0" xfId="49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7" fontId="6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7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176" fontId="10" fillId="8" borderId="0" xfId="0" applyNumberFormat="1" applyFont="1" applyFill="1" applyBorder="1" applyAlignment="1">
      <alignment horizontal="center" vertical="center"/>
    </xf>
    <xf numFmtId="0" fontId="10" fillId="8" borderId="0" xfId="0" applyNumberFormat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177" fontId="5" fillId="4" borderId="0" xfId="0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9" borderId="0" xfId="0" applyNumberFormat="1" applyFont="1" applyFill="1" applyBorder="1" applyAlignment="1" applyProtection="1">
      <alignment horizontal="center" vertical="center" wrapText="1"/>
    </xf>
    <xf numFmtId="176" fontId="10" fillId="9" borderId="0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177" fontId="5" fillId="7" borderId="0" xfId="0" applyNumberFormat="1" applyFont="1" applyFill="1" applyBorder="1" applyAlignment="1">
      <alignment horizontal="center" vertical="center"/>
    </xf>
    <xf numFmtId="178" fontId="5" fillId="7" borderId="0" xfId="0" applyNumberFormat="1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 wrapText="1"/>
    </xf>
    <xf numFmtId="177" fontId="5" fillId="6" borderId="0" xfId="0" applyNumberFormat="1" applyFont="1" applyFill="1" applyBorder="1" applyAlignment="1">
      <alignment horizontal="center" vertical="center"/>
    </xf>
    <xf numFmtId="178" fontId="5" fillId="6" borderId="0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77" fontId="5" fillId="7" borderId="1" xfId="0" applyNumberFormat="1" applyFont="1" applyFill="1" applyBorder="1" applyAlignment="1">
      <alignment horizontal="center" vertical="center"/>
    </xf>
    <xf numFmtId="178" fontId="5" fillId="7" borderId="1" xfId="0" applyNumberFormat="1" applyFont="1" applyFill="1" applyBorder="1" applyAlignment="1">
      <alignment horizontal="center" vertical="center"/>
    </xf>
    <xf numFmtId="0" fontId="10" fillId="10" borderId="0" xfId="0" applyNumberFormat="1" applyFont="1" applyFill="1" applyBorder="1" applyAlignment="1" applyProtection="1">
      <alignment horizontal="center" vertical="center" wrapText="1"/>
    </xf>
    <xf numFmtId="0" fontId="12" fillId="6" borderId="0" xfId="0" applyFont="1" applyFill="1" applyBorder="1">
      <alignment vertical="center"/>
    </xf>
    <xf numFmtId="0" fontId="5" fillId="6" borderId="0" xfId="0" applyNumberFormat="1" applyFont="1" applyFill="1" applyBorder="1" applyAlignment="1">
      <alignment horizontal="center" vertical="center"/>
    </xf>
    <xf numFmtId="0" fontId="13" fillId="6" borderId="0" xfId="6" applyNumberFormat="1" applyFont="1" applyFill="1" applyBorder="1" applyAlignment="1" applyProtection="1">
      <alignment horizontal="center" vertical="center" wrapText="1"/>
    </xf>
    <xf numFmtId="0" fontId="12" fillId="7" borderId="0" xfId="0" applyFont="1" applyFill="1" applyBorder="1">
      <alignment vertical="center"/>
    </xf>
    <xf numFmtId="0" fontId="5" fillId="7" borderId="0" xfId="0" applyNumberFormat="1" applyFont="1" applyFill="1" applyBorder="1" applyAlignment="1">
      <alignment horizontal="center" vertical="center"/>
    </xf>
    <xf numFmtId="0" fontId="13" fillId="7" borderId="0" xfId="6" applyNumberFormat="1" applyFont="1" applyFill="1" applyBorder="1" applyAlignment="1" applyProtection="1">
      <alignment horizontal="center" vertical="center" wrapText="1"/>
    </xf>
    <xf numFmtId="179" fontId="5" fillId="7" borderId="0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>
      <alignment vertical="center"/>
    </xf>
    <xf numFmtId="17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0" fontId="13" fillId="6" borderId="1" xfId="6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/>
      <protection locked="0"/>
    </xf>
    <xf numFmtId="0" fontId="15" fillId="6" borderId="0" xfId="0" applyNumberFormat="1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17" fillId="12" borderId="0" xfId="0" applyNumberFormat="1" applyFont="1" applyFill="1" applyBorder="1" applyAlignment="1">
      <alignment vertical="center"/>
    </xf>
    <xf numFmtId="0" fontId="18" fillId="7" borderId="0" xfId="0" applyNumberFormat="1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center" vertical="center" wrapText="1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0" fontId="5" fillId="7" borderId="0" xfId="6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top" wrapText="1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vertical="center"/>
    </xf>
    <xf numFmtId="0" fontId="17" fillId="13" borderId="0" xfId="0" applyNumberFormat="1" applyFont="1" applyFill="1" applyBorder="1" applyAlignment="1">
      <alignment vertical="center"/>
    </xf>
    <xf numFmtId="0" fontId="19" fillId="7" borderId="0" xfId="0" applyFont="1" applyFill="1" applyBorder="1" applyAlignment="1">
      <alignment horizontal="center" vertical="top" wrapText="1"/>
    </xf>
    <xf numFmtId="5" fontId="6" fillId="7" borderId="0" xfId="0" applyNumberFormat="1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0" fontId="20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0" fontId="20" fillId="14" borderId="0" xfId="0" applyNumberFormat="1" applyFont="1" applyFill="1" applyBorder="1" applyAlignment="1">
      <alignment vertical="center"/>
    </xf>
    <xf numFmtId="5" fontId="6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 wrapText="1"/>
    </xf>
    <xf numFmtId="0" fontId="21" fillId="6" borderId="0" xfId="0" applyNumberFormat="1" applyFont="1" applyFill="1" applyBorder="1" applyAlignment="1">
      <alignment horizontal="center" vertical="center" wrapText="1"/>
    </xf>
    <xf numFmtId="0" fontId="20" fillId="15" borderId="0" xfId="0" applyFont="1" applyFill="1" applyBorder="1" applyAlignment="1">
      <alignment vertical="center"/>
    </xf>
    <xf numFmtId="0" fontId="17" fillId="15" borderId="0" xfId="0" applyFont="1" applyFill="1" applyBorder="1" applyAlignment="1">
      <alignment vertical="center"/>
    </xf>
    <xf numFmtId="0" fontId="20" fillId="15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0" fontId="20" fillId="16" borderId="0" xfId="0" applyNumberFormat="1" applyFont="1" applyFill="1" applyBorder="1" applyAlignment="1">
      <alignment vertical="center"/>
    </xf>
    <xf numFmtId="0" fontId="20" fillId="17" borderId="0" xfId="0" applyFont="1" applyFill="1" applyBorder="1" applyAlignment="1">
      <alignment vertical="center"/>
    </xf>
    <xf numFmtId="0" fontId="17" fillId="17" borderId="0" xfId="0" applyFont="1" applyFill="1" applyBorder="1" applyAlignment="1">
      <alignment vertical="center"/>
    </xf>
    <xf numFmtId="0" fontId="20" fillId="17" borderId="0" xfId="0" applyNumberFormat="1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80" fontId="5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5" fontId="5" fillId="7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/>
    </xf>
    <xf numFmtId="0" fontId="31" fillId="18" borderId="0" xfId="0" applyFont="1" applyFill="1" applyBorder="1" applyAlignment="1">
      <alignment horizontal="center" vertical="center" wrapText="1"/>
    </xf>
    <xf numFmtId="0" fontId="4" fillId="18" borderId="0" xfId="0" applyNumberFormat="1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/>
    </xf>
    <xf numFmtId="0" fontId="31" fillId="19" borderId="0" xfId="0" applyFont="1" applyFill="1" applyBorder="1" applyAlignment="1">
      <alignment horizontal="center" vertical="center" wrapText="1"/>
    </xf>
    <xf numFmtId="0" fontId="17" fillId="19" borderId="0" xfId="0" applyFont="1" applyFill="1" applyBorder="1" applyAlignment="1">
      <alignment horizontal="center" vertical="center"/>
    </xf>
    <xf numFmtId="0" fontId="4" fillId="19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vertical="center"/>
    </xf>
    <xf numFmtId="0" fontId="17" fillId="20" borderId="0" xfId="0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21" borderId="0" xfId="0" applyFont="1" applyFill="1" applyBorder="1" applyAlignment="1">
      <alignment vertical="center"/>
    </xf>
    <xf numFmtId="0" fontId="17" fillId="21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20" fillId="16" borderId="0" xfId="0" applyFont="1" applyFill="1" applyBorder="1" applyAlignment="1">
      <alignment horizontal="center" vertical="center"/>
    </xf>
    <xf numFmtId="0" fontId="20" fillId="22" borderId="0" xfId="0" applyFont="1" applyFill="1" applyBorder="1" applyAlignment="1">
      <alignment vertical="center"/>
    </xf>
    <xf numFmtId="0" fontId="20" fillId="22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center" vertical="center"/>
    </xf>
    <xf numFmtId="176" fontId="5" fillId="23" borderId="0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33" fillId="7" borderId="0" xfId="0" applyFont="1" applyFill="1" applyBorder="1" applyAlignment="1">
      <alignment horizontal="center" vertical="top" wrapText="1"/>
    </xf>
    <xf numFmtId="0" fontId="20" fillId="17" borderId="0" xfId="0" applyFont="1" applyFill="1" applyBorder="1" applyAlignment="1">
      <alignment vertical="center" wrapText="1"/>
    </xf>
    <xf numFmtId="0" fontId="20" fillId="17" borderId="0" xfId="0" applyFont="1" applyFill="1" applyBorder="1" applyAlignment="1">
      <alignment horizontal="center" vertical="center" wrapText="1"/>
    </xf>
    <xf numFmtId="0" fontId="33" fillId="6" borderId="0" xfId="0" applyFont="1" applyFill="1" applyBorder="1" applyAlignment="1">
      <alignment horizontal="center" vertical="top" wrapText="1"/>
    </xf>
    <xf numFmtId="0" fontId="20" fillId="14" borderId="0" xfId="0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 wrapText="1"/>
    </xf>
    <xf numFmtId="0" fontId="18" fillId="23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>
      <alignment horizontal="center" vertical="center"/>
    </xf>
    <xf numFmtId="0" fontId="5" fillId="6" borderId="0" xfId="49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horizontal="center" vertical="center"/>
    </xf>
    <xf numFmtId="0" fontId="6" fillId="23" borderId="0" xfId="0" applyNumberFormat="1" applyFont="1" applyFill="1" applyBorder="1" applyAlignment="1">
      <alignment horizontal="center" vertical="center" wrapText="1"/>
    </xf>
    <xf numFmtId="0" fontId="7" fillId="23" borderId="0" xfId="0" applyFont="1" applyFill="1" applyBorder="1" applyAlignment="1">
      <alignment vertical="center" wrapText="1"/>
    </xf>
    <xf numFmtId="0" fontId="6" fillId="2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49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vertical="center"/>
    </xf>
    <xf numFmtId="0" fontId="20" fillId="25" borderId="0" xfId="0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vertical="center"/>
    </xf>
    <xf numFmtId="0" fontId="20" fillId="26" borderId="0" xfId="0" applyFont="1" applyFill="1" applyBorder="1" applyAlignment="1">
      <alignment vertical="center"/>
    </xf>
    <xf numFmtId="0" fontId="20" fillId="26" borderId="0" xfId="0" applyFont="1" applyFill="1" applyBorder="1" applyAlignment="1">
      <alignment horizontal="center" vertical="center"/>
    </xf>
    <xf numFmtId="0" fontId="27" fillId="26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center" vertical="top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5" fillId="27" borderId="2" xfId="0" applyFont="1" applyFill="1" applyBorder="1" applyAlignment="1">
      <alignment horizontal="center" vertical="center" wrapText="1"/>
    </xf>
    <xf numFmtId="0" fontId="35" fillId="27" borderId="3" xfId="0" applyFont="1" applyFill="1" applyBorder="1" applyAlignment="1">
      <alignment horizontal="center" vertical="center" wrapText="1"/>
    </xf>
    <xf numFmtId="0" fontId="36" fillId="4" borderId="2" xfId="0" applyNumberFormat="1" applyFont="1" applyFill="1" applyBorder="1" applyAlignment="1" applyProtection="1">
      <alignment horizontal="center" vertical="center"/>
    </xf>
    <xf numFmtId="0" fontId="36" fillId="4" borderId="3" xfId="0" applyNumberFormat="1" applyFont="1" applyFill="1" applyBorder="1" applyAlignment="1" applyProtection="1">
      <alignment horizontal="center" vertical="center"/>
    </xf>
    <xf numFmtId="0" fontId="36" fillId="4" borderId="4" xfId="0" applyNumberFormat="1" applyFont="1" applyFill="1" applyBorder="1" applyAlignment="1" applyProtection="1">
      <alignment horizontal="center" vertical="center"/>
    </xf>
    <xf numFmtId="0" fontId="36" fillId="4" borderId="5" xfId="0" applyNumberFormat="1" applyFont="1" applyFill="1" applyBorder="1" applyAlignment="1" applyProtection="1">
      <alignment horizontal="center" vertical="center"/>
    </xf>
    <xf numFmtId="0" fontId="36" fillId="4" borderId="0" xfId="0" applyNumberFormat="1" applyFont="1" applyFill="1" applyAlignment="1" applyProtection="1">
      <alignment horizontal="center" vertical="center"/>
    </xf>
    <xf numFmtId="0" fontId="36" fillId="4" borderId="6" xfId="0" applyNumberFormat="1" applyFont="1" applyFill="1" applyBorder="1" applyAlignment="1" applyProtection="1">
      <alignment horizontal="center" vertical="center"/>
    </xf>
    <xf numFmtId="0" fontId="36" fillId="4" borderId="0" xfId="0" applyNumberFormat="1" applyFont="1" applyFill="1" applyBorder="1" applyAlignment="1" applyProtection="1">
      <alignment horizontal="center" vertical="center"/>
    </xf>
    <xf numFmtId="0" fontId="36" fillId="4" borderId="7" xfId="0" applyNumberFormat="1" applyFont="1" applyFill="1" applyBorder="1" applyAlignment="1" applyProtection="1">
      <alignment horizontal="center" vertical="center"/>
    </xf>
    <xf numFmtId="0" fontId="36" fillId="4" borderId="8" xfId="0" applyNumberFormat="1" applyFont="1" applyFill="1" applyBorder="1" applyAlignment="1" applyProtection="1">
      <alignment horizontal="center" vertical="center"/>
    </xf>
    <xf numFmtId="0" fontId="36" fillId="4" borderId="9" xfId="0" applyNumberFormat="1" applyFont="1" applyFill="1" applyBorder="1" applyAlignment="1" applyProtection="1">
      <alignment horizontal="center" vertical="center"/>
    </xf>
    <xf numFmtId="0" fontId="34" fillId="4" borderId="0" xfId="0" applyFont="1" applyFill="1" applyBorder="1" applyAlignment="1">
      <alignment vertical="center"/>
    </xf>
    <xf numFmtId="0" fontId="37" fillId="28" borderId="10" xfId="0" applyNumberFormat="1" applyFont="1" applyFill="1" applyBorder="1" applyAlignment="1" applyProtection="1">
      <alignment horizontal="center" vertical="center" wrapText="1"/>
    </xf>
    <xf numFmtId="0" fontId="37" fillId="28" borderId="11" xfId="0" applyNumberFormat="1" applyFont="1" applyFill="1" applyBorder="1" applyAlignment="1" applyProtection="1">
      <alignment horizontal="center" vertical="center"/>
    </xf>
    <xf numFmtId="0" fontId="37" fillId="28" borderId="12" xfId="0" applyNumberFormat="1" applyFont="1" applyFill="1" applyBorder="1" applyAlignment="1" applyProtection="1">
      <alignment horizontal="center" vertical="center"/>
    </xf>
    <xf numFmtId="0" fontId="38" fillId="29" borderId="13" xfId="0" applyNumberFormat="1" applyFont="1" applyFill="1" applyBorder="1" applyAlignment="1" applyProtection="1">
      <alignment horizontal="center" vertical="center"/>
    </xf>
    <xf numFmtId="0" fontId="38" fillId="29" borderId="14" xfId="0" applyNumberFormat="1" applyFont="1" applyFill="1" applyBorder="1" applyAlignment="1" applyProtection="1">
      <alignment horizontal="center" vertical="center"/>
    </xf>
    <xf numFmtId="0" fontId="36" fillId="4" borderId="2" xfId="0" applyNumberFormat="1" applyFont="1" applyFill="1" applyBorder="1" applyAlignment="1" applyProtection="1">
      <alignment horizontal="left" vertical="center" wrapText="1"/>
    </xf>
    <xf numFmtId="0" fontId="36" fillId="4" borderId="3" xfId="0" applyNumberFormat="1" applyFont="1" applyFill="1" applyBorder="1" applyAlignment="1" applyProtection="1">
      <alignment horizontal="left" vertical="center"/>
    </xf>
    <xf numFmtId="0" fontId="36" fillId="4" borderId="4" xfId="0" applyNumberFormat="1" applyFont="1" applyFill="1" applyBorder="1" applyAlignment="1" applyProtection="1">
      <alignment horizontal="left" vertical="center"/>
    </xf>
    <xf numFmtId="0" fontId="36" fillId="4" borderId="5" xfId="0" applyNumberFormat="1" applyFont="1" applyFill="1" applyBorder="1" applyAlignment="1" applyProtection="1">
      <alignment horizontal="left" vertical="center"/>
    </xf>
    <xf numFmtId="0" fontId="36" fillId="4" borderId="0" xfId="0" applyNumberFormat="1" applyFont="1" applyFill="1" applyAlignment="1" applyProtection="1">
      <alignment horizontal="left" vertical="center"/>
    </xf>
    <xf numFmtId="0" fontId="36" fillId="4" borderId="6" xfId="0" applyNumberFormat="1" applyFont="1" applyFill="1" applyBorder="1" applyAlignment="1" applyProtection="1">
      <alignment horizontal="left" vertical="center"/>
    </xf>
    <xf numFmtId="0" fontId="36" fillId="4" borderId="15" xfId="0" applyNumberFormat="1" applyFont="1" applyFill="1" applyBorder="1" applyAlignment="1" applyProtection="1">
      <alignment horizontal="left" vertical="center"/>
    </xf>
    <xf numFmtId="0" fontId="36" fillId="4" borderId="7" xfId="0" applyNumberFormat="1" applyFont="1" applyFill="1" applyBorder="1" applyAlignment="1" applyProtection="1">
      <alignment horizontal="left" vertical="center"/>
    </xf>
    <xf numFmtId="0" fontId="36" fillId="4" borderId="8" xfId="0" applyNumberFormat="1" applyFont="1" applyFill="1" applyBorder="1" applyAlignment="1" applyProtection="1">
      <alignment horizontal="left" vertical="center"/>
    </xf>
    <xf numFmtId="0" fontId="36" fillId="4" borderId="9" xfId="0" applyNumberFormat="1" applyFont="1" applyFill="1" applyBorder="1" applyAlignment="1" applyProtection="1">
      <alignment horizontal="left" vertical="center"/>
    </xf>
    <xf numFmtId="0" fontId="38" fillId="29" borderId="2" xfId="0" applyNumberFormat="1" applyFont="1" applyFill="1" applyBorder="1" applyAlignment="1" applyProtection="1">
      <alignment horizontal="center" vertical="center"/>
    </xf>
    <xf numFmtId="0" fontId="38" fillId="29" borderId="3" xfId="0" applyNumberFormat="1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>
      <alignment horizontal="left" vertical="center" wrapText="1"/>
    </xf>
    <xf numFmtId="0" fontId="34" fillId="4" borderId="3" xfId="0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6" xfId="0" applyFont="1" applyFill="1" applyBorder="1" applyAlignment="1">
      <alignment horizontal="left" vertical="center" wrapText="1"/>
    </xf>
    <xf numFmtId="0" fontId="34" fillId="4" borderId="7" xfId="0" applyFont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 wrapText="1"/>
    </xf>
    <xf numFmtId="0" fontId="34" fillId="4" borderId="9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6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5CBF5F83-EDB7-4BF3-9635-F7EF5C5462A5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8A389A65-4513-4E5C-89BC-F718EBD0A7C2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DAA875"/>
      <color rgb="004DF5E7"/>
      <color rgb="0057C7D8"/>
      <color rgb="000484B1"/>
      <color rgb="00FB3F67"/>
      <color rgb="00F61851"/>
      <color rgb="00FFB86D"/>
      <color rgb="00FFFF00"/>
      <color rgb="00FF0000"/>
      <color rgb="00C4E6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webp"/><Relationship Id="rId98" Type="http://schemas.openxmlformats.org/officeDocument/2006/relationships/image" Target="media/image99.webp"/><Relationship Id="rId97" Type="http://schemas.openxmlformats.org/officeDocument/2006/relationships/image" Target="media/image98.webp"/><Relationship Id="rId96" Type="http://schemas.openxmlformats.org/officeDocument/2006/relationships/image" Target="media/image97.webp"/><Relationship Id="rId95" Type="http://schemas.openxmlformats.org/officeDocument/2006/relationships/image" Target="media/image96.webp"/><Relationship Id="rId94" Type="http://schemas.openxmlformats.org/officeDocument/2006/relationships/image" Target="media/image95.jpeg"/><Relationship Id="rId93" Type="http://schemas.openxmlformats.org/officeDocument/2006/relationships/image" Target="media/image94.jpeg"/><Relationship Id="rId92" Type="http://schemas.openxmlformats.org/officeDocument/2006/relationships/image" Target="media/image93.jpeg"/><Relationship Id="rId91" Type="http://schemas.openxmlformats.org/officeDocument/2006/relationships/image" Target="media/image92.jpeg"/><Relationship Id="rId90" Type="http://schemas.openxmlformats.org/officeDocument/2006/relationships/image" Target="media/image91.jpeg"/><Relationship Id="rId9" Type="http://schemas.openxmlformats.org/officeDocument/2006/relationships/image" Target="media/image10.jpeg"/><Relationship Id="rId89" Type="http://schemas.openxmlformats.org/officeDocument/2006/relationships/image" Target="media/image90.jpeg"/><Relationship Id="rId88" Type="http://schemas.openxmlformats.org/officeDocument/2006/relationships/image" Target="media/image89.jpeg"/><Relationship Id="rId87" Type="http://schemas.openxmlformats.org/officeDocument/2006/relationships/image" Target="media/image88.jpeg"/><Relationship Id="rId86" Type="http://schemas.openxmlformats.org/officeDocument/2006/relationships/image" Target="media/image87.jpeg"/><Relationship Id="rId85" Type="http://schemas.openxmlformats.org/officeDocument/2006/relationships/image" Target="media/image86.jpeg"/><Relationship Id="rId84" Type="http://schemas.openxmlformats.org/officeDocument/2006/relationships/image" Target="media/image85.jpeg"/><Relationship Id="rId83" Type="http://schemas.openxmlformats.org/officeDocument/2006/relationships/image" Target="media/image84.jpeg"/><Relationship Id="rId82" Type="http://schemas.openxmlformats.org/officeDocument/2006/relationships/image" Target="media/image83.jpeg"/><Relationship Id="rId81" Type="http://schemas.openxmlformats.org/officeDocument/2006/relationships/image" Target="media/image82.jpeg"/><Relationship Id="rId80" Type="http://schemas.openxmlformats.org/officeDocument/2006/relationships/image" Target="media/image81.jpeg"/><Relationship Id="rId8" Type="http://schemas.openxmlformats.org/officeDocument/2006/relationships/image" Target="media/image9.jpeg"/><Relationship Id="rId79" Type="http://schemas.openxmlformats.org/officeDocument/2006/relationships/image" Target="media/image80.jpeg"/><Relationship Id="rId78" Type="http://schemas.openxmlformats.org/officeDocument/2006/relationships/image" Target="media/image79.jpeg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jpe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jpe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png"/><Relationship Id="rId36" Type="http://schemas.openxmlformats.org/officeDocument/2006/relationships/image" Target="media/image37.jpeg"/><Relationship Id="rId35" Type="http://schemas.openxmlformats.org/officeDocument/2006/relationships/image" Target="media/image36.jpeg"/><Relationship Id="rId34" Type="http://schemas.openxmlformats.org/officeDocument/2006/relationships/image" Target="media/image35.jpe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" Type="http://schemas.openxmlformats.org/officeDocument/2006/relationships/image" Target="media/image30.jpeg"/><Relationship Id="rId28" Type="http://schemas.openxmlformats.org/officeDocument/2006/relationships/image" Target="media/image29.jpeg"/><Relationship Id="rId276" Type="http://schemas.openxmlformats.org/officeDocument/2006/relationships/image" Target="media/image277.jpeg"/><Relationship Id="rId275" Type="http://schemas.openxmlformats.org/officeDocument/2006/relationships/image" Target="media/image276.webp"/><Relationship Id="rId274" Type="http://schemas.openxmlformats.org/officeDocument/2006/relationships/image" Target="media/image275.jpeg"/><Relationship Id="rId273" Type="http://schemas.openxmlformats.org/officeDocument/2006/relationships/image" Target="media/image274.jpeg"/><Relationship Id="rId272" Type="http://schemas.openxmlformats.org/officeDocument/2006/relationships/image" Target="media/image273.jpeg"/><Relationship Id="rId271" Type="http://schemas.openxmlformats.org/officeDocument/2006/relationships/image" Target="media/image272.jpeg"/><Relationship Id="rId270" Type="http://schemas.openxmlformats.org/officeDocument/2006/relationships/image" Target="media/image271.jpeg"/><Relationship Id="rId27" Type="http://schemas.openxmlformats.org/officeDocument/2006/relationships/image" Target="media/image28.jpeg"/><Relationship Id="rId269" Type="http://schemas.openxmlformats.org/officeDocument/2006/relationships/image" Target="media/image270.jpeg"/><Relationship Id="rId268" Type="http://schemas.openxmlformats.org/officeDocument/2006/relationships/image" Target="media/image269.jpeg"/><Relationship Id="rId267" Type="http://schemas.openxmlformats.org/officeDocument/2006/relationships/image" Target="media/image268.jpeg"/><Relationship Id="rId266" Type="http://schemas.openxmlformats.org/officeDocument/2006/relationships/image" Target="media/image267.jpeg"/><Relationship Id="rId265" Type="http://schemas.openxmlformats.org/officeDocument/2006/relationships/image" Target="media/image266.webp"/><Relationship Id="rId264" Type="http://schemas.openxmlformats.org/officeDocument/2006/relationships/image" Target="media/image265.webp"/><Relationship Id="rId263" Type="http://schemas.openxmlformats.org/officeDocument/2006/relationships/image" Target="media/image264.webp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jpeg"/><Relationship Id="rId258" Type="http://schemas.openxmlformats.org/officeDocument/2006/relationships/image" Target="media/image259.webp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webp"/><Relationship Id="rId254" Type="http://schemas.openxmlformats.org/officeDocument/2006/relationships/image" Target="media/image255.webp"/><Relationship Id="rId253" Type="http://schemas.openxmlformats.org/officeDocument/2006/relationships/image" Target="media/image254.jpeg"/><Relationship Id="rId252" Type="http://schemas.openxmlformats.org/officeDocument/2006/relationships/image" Target="media/image253.jpeg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jpeg"/><Relationship Id="rId247" Type="http://schemas.openxmlformats.org/officeDocument/2006/relationships/image" Target="media/image248.jpeg"/><Relationship Id="rId246" Type="http://schemas.openxmlformats.org/officeDocument/2006/relationships/image" Target="media/image247.jpeg"/><Relationship Id="rId245" Type="http://schemas.openxmlformats.org/officeDocument/2006/relationships/image" Target="media/image246.jpeg"/><Relationship Id="rId244" Type="http://schemas.openxmlformats.org/officeDocument/2006/relationships/image" Target="media/image245.jpeg"/><Relationship Id="rId243" Type="http://schemas.openxmlformats.org/officeDocument/2006/relationships/image" Target="media/image244.jpeg"/><Relationship Id="rId242" Type="http://schemas.openxmlformats.org/officeDocument/2006/relationships/image" Target="media/image243.jpeg"/><Relationship Id="rId241" Type="http://schemas.openxmlformats.org/officeDocument/2006/relationships/image" Target="media/image242.jpeg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jpeg"/><Relationship Id="rId235" Type="http://schemas.openxmlformats.org/officeDocument/2006/relationships/image" Target="media/image236.jpeg"/><Relationship Id="rId234" Type="http://schemas.openxmlformats.org/officeDocument/2006/relationships/image" Target="media/image235.jpeg"/><Relationship Id="rId233" Type="http://schemas.openxmlformats.org/officeDocument/2006/relationships/image" Target="media/image234.jpeg"/><Relationship Id="rId232" Type="http://schemas.openxmlformats.org/officeDocument/2006/relationships/image" Target="media/image233.jpeg"/><Relationship Id="rId231" Type="http://schemas.openxmlformats.org/officeDocument/2006/relationships/image" Target="media/image232.jpeg"/><Relationship Id="rId230" Type="http://schemas.openxmlformats.org/officeDocument/2006/relationships/image" Target="media/image231.jpeg"/><Relationship Id="rId23" Type="http://schemas.openxmlformats.org/officeDocument/2006/relationships/image" Target="media/image24.jpeg"/><Relationship Id="rId229" Type="http://schemas.openxmlformats.org/officeDocument/2006/relationships/image" Target="media/image230.jpeg"/><Relationship Id="rId228" Type="http://schemas.openxmlformats.org/officeDocument/2006/relationships/image" Target="media/image229.jpeg"/><Relationship Id="rId227" Type="http://schemas.openxmlformats.org/officeDocument/2006/relationships/image" Target="media/image228.jpeg"/><Relationship Id="rId226" Type="http://schemas.openxmlformats.org/officeDocument/2006/relationships/image" Target="media/image227.webp"/><Relationship Id="rId225" Type="http://schemas.openxmlformats.org/officeDocument/2006/relationships/image" Target="media/image226.jpeg"/><Relationship Id="rId224" Type="http://schemas.openxmlformats.org/officeDocument/2006/relationships/image" Target="media/image225.webp"/><Relationship Id="rId223" Type="http://schemas.openxmlformats.org/officeDocument/2006/relationships/image" Target="media/image224.jpeg"/><Relationship Id="rId222" Type="http://schemas.openxmlformats.org/officeDocument/2006/relationships/image" Target="media/image223.png"/><Relationship Id="rId221" Type="http://schemas.openxmlformats.org/officeDocument/2006/relationships/image" Target="media/image222.jpeg"/><Relationship Id="rId220" Type="http://schemas.openxmlformats.org/officeDocument/2006/relationships/image" Target="media/image221.webp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webp"/><Relationship Id="rId217" Type="http://schemas.openxmlformats.org/officeDocument/2006/relationships/image" Target="media/image218.jpeg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jpeg"/><Relationship Id="rId213" Type="http://schemas.openxmlformats.org/officeDocument/2006/relationships/image" Target="media/image214.jpeg"/><Relationship Id="rId212" Type="http://schemas.openxmlformats.org/officeDocument/2006/relationships/image" Target="media/image213.jpe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webp"/><Relationship Id="rId208" Type="http://schemas.openxmlformats.org/officeDocument/2006/relationships/image" Target="media/image209.jpeg"/><Relationship Id="rId207" Type="http://schemas.openxmlformats.org/officeDocument/2006/relationships/image" Target="media/image208.jpeg"/><Relationship Id="rId206" Type="http://schemas.openxmlformats.org/officeDocument/2006/relationships/image" Target="media/image207.jpeg"/><Relationship Id="rId205" Type="http://schemas.openxmlformats.org/officeDocument/2006/relationships/image" Target="media/image206.jpeg"/><Relationship Id="rId204" Type="http://schemas.openxmlformats.org/officeDocument/2006/relationships/image" Target="media/image205.jpeg"/><Relationship Id="rId203" Type="http://schemas.openxmlformats.org/officeDocument/2006/relationships/image" Target="media/image204.jpeg"/><Relationship Id="rId202" Type="http://schemas.openxmlformats.org/officeDocument/2006/relationships/image" Target="media/image203.jpeg"/><Relationship Id="rId201" Type="http://schemas.openxmlformats.org/officeDocument/2006/relationships/image" Target="media/image202.jpeg"/><Relationship Id="rId200" Type="http://schemas.openxmlformats.org/officeDocument/2006/relationships/image" Target="media/image201.jpeg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jpeg"/><Relationship Id="rId198" Type="http://schemas.openxmlformats.org/officeDocument/2006/relationships/image" Target="media/image199.jpeg"/><Relationship Id="rId197" Type="http://schemas.openxmlformats.org/officeDocument/2006/relationships/image" Target="media/image198.jpeg"/><Relationship Id="rId196" Type="http://schemas.openxmlformats.org/officeDocument/2006/relationships/image" Target="media/image197.jpeg"/><Relationship Id="rId195" Type="http://schemas.openxmlformats.org/officeDocument/2006/relationships/image" Target="media/image196.jpeg"/><Relationship Id="rId194" Type="http://schemas.openxmlformats.org/officeDocument/2006/relationships/image" Target="media/image195.jpeg"/><Relationship Id="rId193" Type="http://schemas.openxmlformats.org/officeDocument/2006/relationships/image" Target="media/image194.jpeg"/><Relationship Id="rId192" Type="http://schemas.openxmlformats.org/officeDocument/2006/relationships/image" Target="media/image193.jpeg"/><Relationship Id="rId191" Type="http://schemas.openxmlformats.org/officeDocument/2006/relationships/image" Target="media/image192.jpeg"/><Relationship Id="rId190" Type="http://schemas.openxmlformats.org/officeDocument/2006/relationships/image" Target="media/image191.jpeg"/><Relationship Id="rId19" Type="http://schemas.openxmlformats.org/officeDocument/2006/relationships/image" Target="media/image20.jpeg"/><Relationship Id="rId189" Type="http://schemas.openxmlformats.org/officeDocument/2006/relationships/image" Target="media/image190.jpeg"/><Relationship Id="rId188" Type="http://schemas.openxmlformats.org/officeDocument/2006/relationships/image" Target="media/image189.jpeg"/><Relationship Id="rId187" Type="http://schemas.openxmlformats.org/officeDocument/2006/relationships/image" Target="media/image188.jpeg"/><Relationship Id="rId186" Type="http://schemas.openxmlformats.org/officeDocument/2006/relationships/image" Target="media/image187.jpeg"/><Relationship Id="rId185" Type="http://schemas.openxmlformats.org/officeDocument/2006/relationships/image" Target="media/image186.jpeg"/><Relationship Id="rId184" Type="http://schemas.openxmlformats.org/officeDocument/2006/relationships/image" Target="media/image185.jpeg"/><Relationship Id="rId183" Type="http://schemas.openxmlformats.org/officeDocument/2006/relationships/image" Target="media/image184.jpeg"/><Relationship Id="rId182" Type="http://schemas.openxmlformats.org/officeDocument/2006/relationships/image" Target="media/image183.jpeg"/><Relationship Id="rId181" Type="http://schemas.openxmlformats.org/officeDocument/2006/relationships/image" Target="media/image182.png"/><Relationship Id="rId180" Type="http://schemas.openxmlformats.org/officeDocument/2006/relationships/image" Target="media/image181.jpeg"/><Relationship Id="rId18" Type="http://schemas.openxmlformats.org/officeDocument/2006/relationships/image" Target="media/image19.jpeg"/><Relationship Id="rId179" Type="http://schemas.openxmlformats.org/officeDocument/2006/relationships/image" Target="media/image180.jpeg"/><Relationship Id="rId178" Type="http://schemas.openxmlformats.org/officeDocument/2006/relationships/image" Target="media/image179.jpeg"/><Relationship Id="rId177" Type="http://schemas.openxmlformats.org/officeDocument/2006/relationships/image" Target="media/image178.jpeg"/><Relationship Id="rId176" Type="http://schemas.openxmlformats.org/officeDocument/2006/relationships/image" Target="media/image177.png"/><Relationship Id="rId175" Type="http://schemas.openxmlformats.org/officeDocument/2006/relationships/image" Target="media/image176.png"/><Relationship Id="rId174" Type="http://schemas.openxmlformats.org/officeDocument/2006/relationships/image" Target="media/image175.png"/><Relationship Id="rId173" Type="http://schemas.openxmlformats.org/officeDocument/2006/relationships/image" Target="media/image174.png"/><Relationship Id="rId172" Type="http://schemas.openxmlformats.org/officeDocument/2006/relationships/image" Target="media/image173.png"/><Relationship Id="rId171" Type="http://schemas.openxmlformats.org/officeDocument/2006/relationships/image" Target="media/image172.png"/><Relationship Id="rId170" Type="http://schemas.openxmlformats.org/officeDocument/2006/relationships/image" Target="media/image171.png"/><Relationship Id="rId17" Type="http://schemas.openxmlformats.org/officeDocument/2006/relationships/image" Target="media/image18.jpeg"/><Relationship Id="rId169" Type="http://schemas.openxmlformats.org/officeDocument/2006/relationships/image" Target="media/image170.png"/><Relationship Id="rId168" Type="http://schemas.openxmlformats.org/officeDocument/2006/relationships/image" Target="media/image169.png"/><Relationship Id="rId167" Type="http://schemas.openxmlformats.org/officeDocument/2006/relationships/image" Target="media/image168.png"/><Relationship Id="rId166" Type="http://schemas.openxmlformats.org/officeDocument/2006/relationships/image" Target="media/image167.png"/><Relationship Id="rId165" Type="http://schemas.openxmlformats.org/officeDocument/2006/relationships/image" Target="media/image166.png"/><Relationship Id="rId164" Type="http://schemas.openxmlformats.org/officeDocument/2006/relationships/image" Target="media/image165.png"/><Relationship Id="rId163" Type="http://schemas.openxmlformats.org/officeDocument/2006/relationships/image" Target="media/image164.png"/><Relationship Id="rId162" Type="http://schemas.openxmlformats.org/officeDocument/2006/relationships/image" Target="media/image163.png"/><Relationship Id="rId161" Type="http://schemas.openxmlformats.org/officeDocument/2006/relationships/image" Target="media/image162.png"/><Relationship Id="rId160" Type="http://schemas.openxmlformats.org/officeDocument/2006/relationships/image" Target="media/image161.png"/><Relationship Id="rId16" Type="http://schemas.openxmlformats.org/officeDocument/2006/relationships/image" Target="media/image17.jpeg"/><Relationship Id="rId159" Type="http://schemas.openxmlformats.org/officeDocument/2006/relationships/image" Target="media/image160.png"/><Relationship Id="rId158" Type="http://schemas.openxmlformats.org/officeDocument/2006/relationships/image" Target="media/image159.png"/><Relationship Id="rId157" Type="http://schemas.openxmlformats.org/officeDocument/2006/relationships/image" Target="media/image158.png"/><Relationship Id="rId156" Type="http://schemas.openxmlformats.org/officeDocument/2006/relationships/image" Target="media/image157.png"/><Relationship Id="rId155" Type="http://schemas.openxmlformats.org/officeDocument/2006/relationships/image" Target="media/image156.png"/><Relationship Id="rId154" Type="http://schemas.openxmlformats.org/officeDocument/2006/relationships/image" Target="media/image155.png"/><Relationship Id="rId153" Type="http://schemas.openxmlformats.org/officeDocument/2006/relationships/image" Target="media/image154.png"/><Relationship Id="rId152" Type="http://schemas.openxmlformats.org/officeDocument/2006/relationships/image" Target="media/image153.png"/><Relationship Id="rId151" Type="http://schemas.openxmlformats.org/officeDocument/2006/relationships/image" Target="media/image152.png"/><Relationship Id="rId150" Type="http://schemas.openxmlformats.org/officeDocument/2006/relationships/image" Target="media/image151.png"/><Relationship Id="rId15" Type="http://schemas.openxmlformats.org/officeDocument/2006/relationships/image" Target="media/image16.jpeg"/><Relationship Id="rId149" Type="http://schemas.openxmlformats.org/officeDocument/2006/relationships/image" Target="media/image150.png"/><Relationship Id="rId148" Type="http://schemas.openxmlformats.org/officeDocument/2006/relationships/image" Target="media/image149.png"/><Relationship Id="rId147" Type="http://schemas.openxmlformats.org/officeDocument/2006/relationships/image" Target="media/image148.png"/><Relationship Id="rId146" Type="http://schemas.openxmlformats.org/officeDocument/2006/relationships/image" Target="media/image147.png"/><Relationship Id="rId145" Type="http://schemas.openxmlformats.org/officeDocument/2006/relationships/image" Target="media/image146.png"/><Relationship Id="rId144" Type="http://schemas.openxmlformats.org/officeDocument/2006/relationships/image" Target="media/image145.png"/><Relationship Id="rId143" Type="http://schemas.openxmlformats.org/officeDocument/2006/relationships/image" Target="media/image144.png"/><Relationship Id="rId142" Type="http://schemas.openxmlformats.org/officeDocument/2006/relationships/image" Target="media/image143.png"/><Relationship Id="rId141" Type="http://schemas.openxmlformats.org/officeDocument/2006/relationships/image" Target="media/image142.png"/><Relationship Id="rId140" Type="http://schemas.openxmlformats.org/officeDocument/2006/relationships/image" Target="media/image141.png"/><Relationship Id="rId14" Type="http://schemas.openxmlformats.org/officeDocument/2006/relationships/image" Target="media/image15.jpeg"/><Relationship Id="rId139" Type="http://schemas.openxmlformats.org/officeDocument/2006/relationships/image" Target="media/image140.png"/><Relationship Id="rId138" Type="http://schemas.openxmlformats.org/officeDocument/2006/relationships/image" Target="media/image139.png"/><Relationship Id="rId137" Type="http://schemas.openxmlformats.org/officeDocument/2006/relationships/image" Target="media/image138.png"/><Relationship Id="rId136" Type="http://schemas.openxmlformats.org/officeDocument/2006/relationships/image" Target="media/image137.png"/><Relationship Id="rId135" Type="http://schemas.openxmlformats.org/officeDocument/2006/relationships/image" Target="media/image136.png"/><Relationship Id="rId134" Type="http://schemas.openxmlformats.org/officeDocument/2006/relationships/image" Target="media/image135.png"/><Relationship Id="rId133" Type="http://schemas.openxmlformats.org/officeDocument/2006/relationships/image" Target="media/image134.png"/><Relationship Id="rId132" Type="http://schemas.openxmlformats.org/officeDocument/2006/relationships/image" Target="media/image133.jpeg"/><Relationship Id="rId131" Type="http://schemas.openxmlformats.org/officeDocument/2006/relationships/image" Target="media/image132.jpeg"/><Relationship Id="rId130" Type="http://schemas.openxmlformats.org/officeDocument/2006/relationships/image" Target="media/image131.jpeg"/><Relationship Id="rId13" Type="http://schemas.openxmlformats.org/officeDocument/2006/relationships/image" Target="media/image14.jpeg"/><Relationship Id="rId129" Type="http://schemas.openxmlformats.org/officeDocument/2006/relationships/image" Target="media/image130.jpeg"/><Relationship Id="rId128" Type="http://schemas.openxmlformats.org/officeDocument/2006/relationships/image" Target="media/image129.jpeg"/><Relationship Id="rId127" Type="http://schemas.openxmlformats.org/officeDocument/2006/relationships/image" Target="media/image128.webp"/><Relationship Id="rId126" Type="http://schemas.openxmlformats.org/officeDocument/2006/relationships/image" Target="media/image127.webp"/><Relationship Id="rId125" Type="http://schemas.openxmlformats.org/officeDocument/2006/relationships/image" Target="media/image126.webp"/><Relationship Id="rId124" Type="http://schemas.openxmlformats.org/officeDocument/2006/relationships/image" Target="media/image125.webp"/><Relationship Id="rId123" Type="http://schemas.openxmlformats.org/officeDocument/2006/relationships/image" Target="media/image124.webp"/><Relationship Id="rId122" Type="http://schemas.openxmlformats.org/officeDocument/2006/relationships/image" Target="media/image123.jpeg"/><Relationship Id="rId121" Type="http://schemas.openxmlformats.org/officeDocument/2006/relationships/image" Target="media/image122.webp"/><Relationship Id="rId120" Type="http://schemas.openxmlformats.org/officeDocument/2006/relationships/image" Target="media/image121.webp"/><Relationship Id="rId12" Type="http://schemas.openxmlformats.org/officeDocument/2006/relationships/image" Target="media/image13.jpeg"/><Relationship Id="rId119" Type="http://schemas.openxmlformats.org/officeDocument/2006/relationships/image" Target="media/image120.webp"/><Relationship Id="rId118" Type="http://schemas.openxmlformats.org/officeDocument/2006/relationships/image" Target="media/image119.webp"/><Relationship Id="rId117" Type="http://schemas.openxmlformats.org/officeDocument/2006/relationships/image" Target="media/image118.webp"/><Relationship Id="rId116" Type="http://schemas.openxmlformats.org/officeDocument/2006/relationships/image" Target="media/image117.webp"/><Relationship Id="rId115" Type="http://schemas.openxmlformats.org/officeDocument/2006/relationships/image" Target="media/image116.webp"/><Relationship Id="rId114" Type="http://schemas.openxmlformats.org/officeDocument/2006/relationships/image" Target="media/image115.webp"/><Relationship Id="rId113" Type="http://schemas.openxmlformats.org/officeDocument/2006/relationships/image" Target="media/image114.webp"/><Relationship Id="rId112" Type="http://schemas.openxmlformats.org/officeDocument/2006/relationships/image" Target="media/image113.webp"/><Relationship Id="rId111" Type="http://schemas.openxmlformats.org/officeDocument/2006/relationships/image" Target="media/image112.webp"/><Relationship Id="rId110" Type="http://schemas.openxmlformats.org/officeDocument/2006/relationships/image" Target="media/image111.webp"/><Relationship Id="rId11" Type="http://schemas.openxmlformats.org/officeDocument/2006/relationships/image" Target="media/image12.jpeg"/><Relationship Id="rId109" Type="http://schemas.openxmlformats.org/officeDocument/2006/relationships/image" Target="media/image110.webp"/><Relationship Id="rId108" Type="http://schemas.openxmlformats.org/officeDocument/2006/relationships/image" Target="media/image109.webp"/><Relationship Id="rId107" Type="http://schemas.openxmlformats.org/officeDocument/2006/relationships/image" Target="media/image108.webp"/><Relationship Id="rId106" Type="http://schemas.openxmlformats.org/officeDocument/2006/relationships/image" Target="media/image107.webp"/><Relationship Id="rId105" Type="http://schemas.openxmlformats.org/officeDocument/2006/relationships/image" Target="media/image106.webp"/><Relationship Id="rId104" Type="http://schemas.openxmlformats.org/officeDocument/2006/relationships/image" Target="media/image105.webp"/><Relationship Id="rId103" Type="http://schemas.openxmlformats.org/officeDocument/2006/relationships/image" Target="media/image104.webp"/><Relationship Id="rId102" Type="http://schemas.openxmlformats.org/officeDocument/2006/relationships/image" Target="media/image103.webp"/><Relationship Id="rId101" Type="http://schemas.openxmlformats.org/officeDocument/2006/relationships/image" Target="media/image102.webp"/><Relationship Id="rId100" Type="http://schemas.openxmlformats.org/officeDocument/2006/relationships/image" Target="media/image101.webp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7</xdr:row>
      <xdr:rowOff>179705</xdr:rowOff>
    </xdr:from>
    <xdr:to>
      <xdr:col>1</xdr:col>
      <xdr:colOff>422910</xdr:colOff>
      <xdr:row>7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12</xdr:row>
      <xdr:rowOff>179705</xdr:rowOff>
    </xdr:from>
    <xdr:to>
      <xdr:col>1</xdr:col>
      <xdr:colOff>422910</xdr:colOff>
      <xdr:row>12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91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179705</xdr:rowOff>
    </xdr:from>
    <xdr:to>
      <xdr:col>1</xdr:col>
      <xdr:colOff>422910</xdr:colOff>
      <xdr:row>13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754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14</xdr:row>
      <xdr:rowOff>179705</xdr:rowOff>
    </xdr:from>
    <xdr:to>
      <xdr:col>1</xdr:col>
      <xdr:colOff>422910</xdr:colOff>
      <xdr:row>14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818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30</xdr:row>
      <xdr:rowOff>179705</xdr:rowOff>
    </xdr:from>
    <xdr:to>
      <xdr:col>1</xdr:col>
      <xdr:colOff>422910</xdr:colOff>
      <xdr:row>30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70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31</xdr:row>
      <xdr:rowOff>179705</xdr:rowOff>
    </xdr:from>
    <xdr:to>
      <xdr:col>1</xdr:col>
      <xdr:colOff>422910</xdr:colOff>
      <xdr:row>31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834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32</xdr:row>
      <xdr:rowOff>179705</xdr:rowOff>
    </xdr:from>
    <xdr:to>
      <xdr:col>1</xdr:col>
      <xdr:colOff>422910</xdr:colOff>
      <xdr:row>32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897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45</xdr:row>
      <xdr:rowOff>179705</xdr:rowOff>
    </xdr:from>
    <xdr:to>
      <xdr:col>1</xdr:col>
      <xdr:colOff>422910</xdr:colOff>
      <xdr:row>45</xdr:row>
      <xdr:rowOff>458470</xdr:rowOff>
    </xdr:to>
    <xdr:pic>
      <xdr:nvPicPr>
        <xdr:cNvPr id="35" name="ID_A216E7FA2A074D94A33176AA768FB0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59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23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52</xdr:row>
      <xdr:rowOff>179705</xdr:rowOff>
    </xdr:from>
    <xdr:to>
      <xdr:col>1</xdr:col>
      <xdr:colOff>422910</xdr:colOff>
      <xdr:row>52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72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68</xdr:row>
      <xdr:rowOff>179705</xdr:rowOff>
    </xdr:from>
    <xdr:to>
      <xdr:col>1</xdr:col>
      <xdr:colOff>422910</xdr:colOff>
      <xdr:row>68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72</xdr:row>
      <xdr:rowOff>179705</xdr:rowOff>
    </xdr:from>
    <xdr:to>
      <xdr:col>1</xdr:col>
      <xdr:colOff>422910</xdr:colOff>
      <xdr:row>72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278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77</xdr:row>
      <xdr:rowOff>179705</xdr:rowOff>
    </xdr:from>
    <xdr:to>
      <xdr:col>1</xdr:col>
      <xdr:colOff>422910</xdr:colOff>
      <xdr:row>77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596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85</xdr:row>
      <xdr:rowOff>179705</xdr:rowOff>
    </xdr:from>
    <xdr:to>
      <xdr:col>1</xdr:col>
      <xdr:colOff>422910</xdr:colOff>
      <xdr:row>85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72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90</xdr:row>
      <xdr:rowOff>179705</xdr:rowOff>
    </xdr:from>
    <xdr:to>
      <xdr:col>1</xdr:col>
      <xdr:colOff>422910</xdr:colOff>
      <xdr:row>90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358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92</xdr:row>
      <xdr:rowOff>179705</xdr:rowOff>
    </xdr:from>
    <xdr:to>
      <xdr:col>1</xdr:col>
      <xdr:colOff>422910</xdr:colOff>
      <xdr:row>92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48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107</xdr:row>
      <xdr:rowOff>179705</xdr:rowOff>
    </xdr:from>
    <xdr:to>
      <xdr:col>1</xdr:col>
      <xdr:colOff>422910</xdr:colOff>
      <xdr:row>107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374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</xdr:row>
      <xdr:rowOff>179705</xdr:rowOff>
    </xdr:from>
    <xdr:to>
      <xdr:col>1</xdr:col>
      <xdr:colOff>422910</xdr:colOff>
      <xdr:row>11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27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40</xdr:row>
      <xdr:rowOff>179705</xdr:rowOff>
    </xdr:from>
    <xdr:to>
      <xdr:col>1</xdr:col>
      <xdr:colOff>422910</xdr:colOff>
      <xdr:row>40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373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55</xdr:row>
      <xdr:rowOff>179705</xdr:rowOff>
    </xdr:from>
    <xdr:to>
      <xdr:col>1</xdr:col>
      <xdr:colOff>422910</xdr:colOff>
      <xdr:row>55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262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57</xdr:row>
      <xdr:rowOff>179705</xdr:rowOff>
    </xdr:from>
    <xdr:to>
      <xdr:col>1</xdr:col>
      <xdr:colOff>422910</xdr:colOff>
      <xdr:row>57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389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75</xdr:row>
      <xdr:rowOff>179705</xdr:rowOff>
    </xdr:from>
    <xdr:to>
      <xdr:col>1</xdr:col>
      <xdr:colOff>422910</xdr:colOff>
      <xdr:row>75</xdr:row>
      <xdr:rowOff>458470</xdr:rowOff>
    </xdr:to>
    <xdr:pic>
      <xdr:nvPicPr>
        <xdr:cNvPr id="1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469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95</xdr:row>
      <xdr:rowOff>179705</xdr:rowOff>
    </xdr:from>
    <xdr:to>
      <xdr:col>1</xdr:col>
      <xdr:colOff>422910</xdr:colOff>
      <xdr:row>95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675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99</xdr:row>
      <xdr:rowOff>179705</xdr:rowOff>
    </xdr:from>
    <xdr:to>
      <xdr:col>1</xdr:col>
      <xdr:colOff>422910</xdr:colOff>
      <xdr:row>99</xdr:row>
      <xdr:rowOff>458470</xdr:rowOff>
    </xdr:to>
    <xdr:pic>
      <xdr:nvPicPr>
        <xdr:cNvPr id="13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929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54</xdr:row>
      <xdr:rowOff>179705</xdr:rowOff>
    </xdr:from>
    <xdr:to>
      <xdr:col>1</xdr:col>
      <xdr:colOff>422910</xdr:colOff>
      <xdr:row>54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199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58</xdr:row>
      <xdr:rowOff>187325</xdr:rowOff>
    </xdr:from>
    <xdr:to>
      <xdr:col>1</xdr:col>
      <xdr:colOff>422910</xdr:colOff>
      <xdr:row>58</xdr:row>
      <xdr:rowOff>466090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45408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33</xdr:row>
      <xdr:rowOff>179705</xdr:rowOff>
    </xdr:from>
    <xdr:to>
      <xdr:col>1</xdr:col>
      <xdr:colOff>422910</xdr:colOff>
      <xdr:row>33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961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35</xdr:row>
      <xdr:rowOff>179705</xdr:rowOff>
    </xdr:from>
    <xdr:to>
      <xdr:col>1</xdr:col>
      <xdr:colOff>422910</xdr:colOff>
      <xdr:row>35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088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34</xdr:row>
      <xdr:rowOff>179705</xdr:rowOff>
    </xdr:from>
    <xdr:to>
      <xdr:col>1</xdr:col>
      <xdr:colOff>422910</xdr:colOff>
      <xdr:row>34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024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39</xdr:row>
      <xdr:rowOff>179705</xdr:rowOff>
    </xdr:from>
    <xdr:to>
      <xdr:col>1</xdr:col>
      <xdr:colOff>422910</xdr:colOff>
      <xdr:row>39</xdr:row>
      <xdr:rowOff>458470</xdr:rowOff>
    </xdr:to>
    <xdr:pic>
      <xdr:nvPicPr>
        <xdr:cNvPr id="17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310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48</xdr:row>
      <xdr:rowOff>179705</xdr:rowOff>
    </xdr:from>
    <xdr:to>
      <xdr:col>1</xdr:col>
      <xdr:colOff>422910</xdr:colOff>
      <xdr:row>48</xdr:row>
      <xdr:rowOff>458470</xdr:rowOff>
    </xdr:to>
    <xdr:pic>
      <xdr:nvPicPr>
        <xdr:cNvPr id="18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50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47</xdr:row>
      <xdr:rowOff>179705</xdr:rowOff>
    </xdr:from>
    <xdr:to>
      <xdr:col>1</xdr:col>
      <xdr:colOff>422910</xdr:colOff>
      <xdr:row>47</xdr:row>
      <xdr:rowOff>458470</xdr:rowOff>
    </xdr:to>
    <xdr:pic>
      <xdr:nvPicPr>
        <xdr:cNvPr id="5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8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59</xdr:row>
      <xdr:rowOff>179705</xdr:rowOff>
    </xdr:from>
    <xdr:to>
      <xdr:col>1</xdr:col>
      <xdr:colOff>422910</xdr:colOff>
      <xdr:row>59</xdr:row>
      <xdr:rowOff>458470</xdr:rowOff>
    </xdr:to>
    <xdr:pic>
      <xdr:nvPicPr>
        <xdr:cNvPr id="19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516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69</xdr:row>
      <xdr:rowOff>187325</xdr:rowOff>
    </xdr:from>
    <xdr:to>
      <xdr:col>1</xdr:col>
      <xdr:colOff>422910</xdr:colOff>
      <xdr:row>69</xdr:row>
      <xdr:rowOff>466090</xdr:rowOff>
    </xdr:to>
    <xdr:pic>
      <xdr:nvPicPr>
        <xdr:cNvPr id="2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2083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80</xdr:row>
      <xdr:rowOff>179705</xdr:rowOff>
    </xdr:from>
    <xdr:to>
      <xdr:col>1</xdr:col>
      <xdr:colOff>422910</xdr:colOff>
      <xdr:row>80</xdr:row>
      <xdr:rowOff>458470</xdr:rowOff>
    </xdr:to>
    <xdr:pic>
      <xdr:nvPicPr>
        <xdr:cNvPr id="21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786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97</xdr:row>
      <xdr:rowOff>179705</xdr:rowOff>
    </xdr:from>
    <xdr:to>
      <xdr:col>1</xdr:col>
      <xdr:colOff>422910</xdr:colOff>
      <xdr:row>97</xdr:row>
      <xdr:rowOff>458470</xdr:rowOff>
    </xdr:to>
    <xdr:pic>
      <xdr:nvPicPr>
        <xdr:cNvPr id="2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802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108</xdr:row>
      <xdr:rowOff>179705</xdr:rowOff>
    </xdr:from>
    <xdr:to>
      <xdr:col>1</xdr:col>
      <xdr:colOff>422910</xdr:colOff>
      <xdr:row>108</xdr:row>
      <xdr:rowOff>458470</xdr:rowOff>
    </xdr:to>
    <xdr:pic>
      <xdr:nvPicPr>
        <xdr:cNvPr id="23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437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02946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47</xdr:row>
      <xdr:rowOff>117475</xdr:rowOff>
    </xdr:from>
    <xdr:to>
      <xdr:col>1</xdr:col>
      <xdr:colOff>475615</xdr:colOff>
      <xdr:row>47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3294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50</xdr:row>
      <xdr:rowOff>117475</xdr:rowOff>
    </xdr:from>
    <xdr:to>
      <xdr:col>1</xdr:col>
      <xdr:colOff>475615</xdr:colOff>
      <xdr:row>50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462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38</xdr:row>
      <xdr:rowOff>117475</xdr:rowOff>
    </xdr:from>
    <xdr:to>
      <xdr:col>1</xdr:col>
      <xdr:colOff>475615</xdr:colOff>
      <xdr:row>38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8913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15</xdr:row>
      <xdr:rowOff>117475</xdr:rowOff>
    </xdr:from>
    <xdr:to>
      <xdr:col>1</xdr:col>
      <xdr:colOff>475615</xdr:colOff>
      <xdr:row>15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7419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03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7</xdr:row>
      <xdr:rowOff>117475</xdr:rowOff>
    </xdr:from>
    <xdr:to>
      <xdr:col>1</xdr:col>
      <xdr:colOff>475615</xdr:colOff>
      <xdr:row>7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54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9</xdr:row>
      <xdr:rowOff>117475</xdr:rowOff>
    </xdr:from>
    <xdr:to>
      <xdr:col>1</xdr:col>
      <xdr:colOff>475615</xdr:colOff>
      <xdr:row>9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4562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14</xdr:row>
      <xdr:rowOff>117475</xdr:rowOff>
    </xdr:from>
    <xdr:to>
      <xdr:col>1</xdr:col>
      <xdr:colOff>475615</xdr:colOff>
      <xdr:row>14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6911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21</xdr:row>
      <xdr:rowOff>117475</xdr:rowOff>
    </xdr:from>
    <xdr:to>
      <xdr:col>1</xdr:col>
      <xdr:colOff>475615</xdr:colOff>
      <xdr:row>21</xdr:row>
      <xdr:rowOff>396240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0467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7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5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4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3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2" Type="http://schemas.openxmlformats.org/officeDocument/2006/relationships/hyperlink" Target="https://v.douyin.com/iLnMvpHr/" TargetMode="External"/><Relationship Id="rId71" Type="http://schemas.openxmlformats.org/officeDocument/2006/relationships/hyperlink" Target="https://v.douyin.com/iJPnedXN/" TargetMode="External"/><Relationship Id="rId70" Type="http://schemas.openxmlformats.org/officeDocument/2006/relationships/hyperlink" Target="https://v.douyin.com/iJPnXVxk/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v.douyin.com/ieJE8VSW/" TargetMode="External"/><Relationship Id="rId68" Type="http://schemas.openxmlformats.org/officeDocument/2006/relationships/hyperlink" Target="https://v.douyin.com/iSSP2279/ 2@2.com" TargetMode="External"/><Relationship Id="rId67" Type="http://schemas.openxmlformats.org/officeDocument/2006/relationships/hyperlink" Target="https://v.douyin.com/i5boShFY/" TargetMode="External"/><Relationship Id="rId66" Type="http://schemas.openxmlformats.org/officeDocument/2006/relationships/hyperlink" Target="https://v.douyin.com/iN7QSUQs/" TargetMode="External"/><Relationship Id="rId65" Type="http://schemas.openxmlformats.org/officeDocument/2006/relationships/hyperlink" Target="https://v.douyin.com/_lMUnKhZ_vE/" TargetMode="External"/><Relationship Id="rId64" Type="http://schemas.openxmlformats.org/officeDocument/2006/relationships/hyperlink" Target="https://v.douyin.com/l48-W0BWH2c/" TargetMode="External"/><Relationship Id="rId63" Type="http://schemas.openxmlformats.org/officeDocument/2006/relationships/hyperlink" Target="https://v.douyin.com/D2Syf86/" TargetMode="External"/><Relationship Id="rId62" Type="http://schemas.openxmlformats.org/officeDocument/2006/relationships/hyperlink" Target="https://v.douyin.com/rXkgpu2/" TargetMode="External"/><Relationship Id="rId61" Type="http://schemas.openxmlformats.org/officeDocument/2006/relationships/hyperlink" Target="https://v.douyin.com/dHJh1Q1/" TargetMode="External"/><Relationship Id="rId60" Type="http://schemas.openxmlformats.org/officeDocument/2006/relationships/hyperlink" Target="https://v.douyin.com/iDDrdfwC/ 9@0.com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iyQ6npBH/" TargetMode="External"/><Relationship Id="rId58" Type="http://schemas.openxmlformats.org/officeDocument/2006/relationships/hyperlink" Target="https://v.douyin.com/iy5xpGEA/" TargetMode="External"/><Relationship Id="rId57" Type="http://schemas.openxmlformats.org/officeDocument/2006/relationships/hyperlink" Target="https://v.douyin.com/iYBa8VBc/" TargetMode="External"/><Relationship Id="rId56" Type="http://schemas.openxmlformats.org/officeDocument/2006/relationships/hyperlink" Target="https://v.douyin.com/RNPgvkV/" TargetMode="External"/><Relationship Id="rId55" Type="http://schemas.openxmlformats.org/officeDocument/2006/relationships/hyperlink" Target="https://v.douyin.com/FSHKXaa/" TargetMode="External"/><Relationship Id="rId54" Type="http://schemas.openxmlformats.org/officeDocument/2006/relationships/hyperlink" Target="https://v.douyin.com/iUU8cHHq/" TargetMode="External"/><Relationship Id="rId53" Type="http://schemas.openxmlformats.org/officeDocument/2006/relationships/hyperlink" Target="https://v.douyin.com/iDDUXSLj/ 9@1.com :2pm" TargetMode="External"/><Relationship Id="rId52" Type="http://schemas.openxmlformats.org/officeDocument/2006/relationships/hyperlink" Target="https://v.douyin.com/iDDaWpJE/ 8@1.com :1pm" TargetMode="External"/><Relationship Id="rId51" Type="http://schemas.openxmlformats.org/officeDocument/2006/relationships/hyperlink" Target="https://v.douyin.com/24q2eQN/" TargetMode="External"/><Relationship Id="rId50" Type="http://schemas.openxmlformats.org/officeDocument/2006/relationships/hyperlink" Target="https://v.douyin.com/iBXmyyq9/ 3@3.com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ikHJhdsd/ 5@0.com" TargetMode="External"/><Relationship Id="rId48" Type="http://schemas.openxmlformats.org/officeDocument/2006/relationships/hyperlink" Target="https://v.douyin.com/ihLfY4my/ 1@8.com" TargetMode="External"/><Relationship Id="rId47" Type="http://schemas.openxmlformats.org/officeDocument/2006/relationships/hyperlink" Target="https://v.douyin.com/ihY3Bnto/ 3@1.com" TargetMode="External"/><Relationship Id="rId46" Type="http://schemas.openxmlformats.org/officeDocument/2006/relationships/hyperlink" Target="https://v.douyin.com/iMskdSfA/" TargetMode="External"/><Relationship Id="rId45" Type="http://schemas.openxmlformats.org/officeDocument/2006/relationships/hyperlink" Target="https://v.douyin.com/ik1j1xge/ 9@3.com" TargetMode="External"/><Relationship Id="rId44" Type="http://schemas.openxmlformats.org/officeDocument/2006/relationships/hyperlink" Target="https://v.douyin.com/i6jrprmo/ 5@2.com" TargetMode="External"/><Relationship Id="rId43" Type="http://schemas.openxmlformats.org/officeDocument/2006/relationships/hyperlink" Target="https://v.douyin.com/i2H5qaFs/" TargetMode="External"/><Relationship Id="rId42" Type="http://schemas.openxmlformats.org/officeDocument/2006/relationships/hyperlink" Target="https://v.douyin.com/iY85x94D/" TargetMode="External"/><Relationship Id="rId41" Type="http://schemas.openxmlformats.org/officeDocument/2006/relationships/hyperlink" Target="https://v.douyin.com/ijjdY42F/" TargetMode="External"/><Relationship Id="rId40" Type="http://schemas.openxmlformats.org/officeDocument/2006/relationships/hyperlink" Target="https://v.douyin.com/ijAbtYL4/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FSgqeNj/" TargetMode="External"/><Relationship Id="rId38" Type="http://schemas.openxmlformats.org/officeDocument/2006/relationships/hyperlink" Target="https://v.douyin.com/8Y1YhAe/" TargetMode="External"/><Relationship Id="rId37" Type="http://schemas.openxmlformats.org/officeDocument/2006/relationships/hyperlink" Target="https://v.douyin.com/eC3yEYf/" TargetMode="External"/><Relationship Id="rId36" Type="http://schemas.openxmlformats.org/officeDocument/2006/relationships/hyperlink" Target="https://v.douyin.com/iLnrNjSN/" TargetMode="External"/><Relationship Id="rId35" Type="http://schemas.openxmlformats.org/officeDocument/2006/relationships/hyperlink" Target="https://v.douyin.com/iLb8hLmv/" TargetMode="External"/><Relationship Id="rId34" Type="http://schemas.openxmlformats.org/officeDocument/2006/relationships/hyperlink" Target="https://v.douyin.com/iRjb6jSc/" TargetMode="External"/><Relationship Id="rId33" Type="http://schemas.openxmlformats.org/officeDocument/2006/relationships/hyperlink" Target="https://v.douyin.com/idVsSMmU/" TargetMode="External"/><Relationship Id="rId32" Type="http://schemas.openxmlformats.org/officeDocument/2006/relationships/hyperlink" Target="https://v.douyin.com/ieJEk27r/" TargetMode="External"/><Relationship Id="rId31" Type="http://schemas.openxmlformats.org/officeDocument/2006/relationships/hyperlink" Target="https://v.douyin.com/i3omXSR/" TargetMode="External"/><Relationship Id="rId30" Type="http://schemas.openxmlformats.org/officeDocument/2006/relationships/hyperlink" Target="https://v.douyin.com/N59HuqG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iJCV86d/" TargetMode="External"/><Relationship Id="rId28" Type="http://schemas.openxmlformats.org/officeDocument/2006/relationships/hyperlink" Target="https://v.douyin.com/U7hrxCa/" TargetMode="External"/><Relationship Id="rId27" Type="http://schemas.openxmlformats.org/officeDocument/2006/relationships/hyperlink" Target="https://v.douyin.com/jcNeW61/" TargetMode="External"/><Relationship Id="rId26" Type="http://schemas.openxmlformats.org/officeDocument/2006/relationships/hyperlink" Target="https://v.douyin.com/AEx3WQG/" TargetMode="External"/><Relationship Id="rId25" Type="http://schemas.openxmlformats.org/officeDocument/2006/relationships/hyperlink" Target="https://v.douyin.com/AvYkCxx/" TargetMode="External"/><Relationship Id="rId24" Type="http://schemas.openxmlformats.org/officeDocument/2006/relationships/hyperlink" Target="https://v.douyin.com/SyqNhh3/" TargetMode="External"/><Relationship Id="rId23" Type="http://schemas.openxmlformats.org/officeDocument/2006/relationships/hyperlink" Target="https://v.douyin.com/S2jDbCK/" TargetMode="External"/><Relationship Id="rId22" Type="http://schemas.openxmlformats.org/officeDocument/2006/relationships/hyperlink" Target="https://v.douyin.com/BcRnESq/" TargetMode="External"/><Relationship Id="rId21" Type="http://schemas.openxmlformats.org/officeDocument/2006/relationships/hyperlink" Target="https://v.douyin.com/BNvsvjV/" TargetMode="External"/><Relationship Id="rId201" Type="http://schemas.openxmlformats.org/officeDocument/2006/relationships/hyperlink" Target="https://www.xingtu.cn/ad/creator/author-homepage/douyin-video/7437412455573094438?market_track_id=OZDXFB6LRY6IARAR1ZJR&amp;search_session_id=7577287979769987108&amp;possessStarId" TargetMode="External"/><Relationship Id="rId200" Type="http://schemas.openxmlformats.org/officeDocument/2006/relationships/hyperlink" Target="https://v.douyin.com/Wd-9v46EwOo/" TargetMode="External"/><Relationship Id="rId20" Type="http://schemas.openxmlformats.org/officeDocument/2006/relationships/hyperlink" Target="https://v.douyin.com/YFDupKa/" TargetMode="External"/><Relationship Id="rId2" Type="http://schemas.openxmlformats.org/officeDocument/2006/relationships/hyperlink" Target="https://v.douyin.com/ee1Ud3N/" TargetMode="External"/><Relationship Id="rId199" Type="http://schemas.openxmlformats.org/officeDocument/2006/relationships/hyperlink" Target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 TargetMode="External"/><Relationship Id="rId198" Type="http://schemas.openxmlformats.org/officeDocument/2006/relationships/hyperlink" Target="https://v.douyin.com/bwEB4nNFwkw/" TargetMode="External"/><Relationship Id="rId197" Type="http://schemas.openxmlformats.org/officeDocument/2006/relationships/hyperlink" Target="https://www.xingtu.cn/ad/creator/author-homepage/douyin-video/7488315869542481958?market_track_id=GN4C1YMKB8J6X9QKJHNN&amp;search_session_id=7576565643592663094&amp;possessStarId" TargetMode="External"/><Relationship Id="rId196" Type="http://schemas.openxmlformats.org/officeDocument/2006/relationships/hyperlink" Target="https://v.douyin.com/wY5EbAVpuV8/" TargetMode="External"/><Relationship Id="rId195" Type="http://schemas.openxmlformats.org/officeDocument/2006/relationships/hyperlink" Target="https://www.xingtu.cn/ad/creator/author-homepage/douyin-video/7547976599398318089?market_track_id=R5DZ8YSWRGDLDFHSKGHK&amp;search_session_id=7572463525462655039&amp;possessStarId" TargetMode="External"/><Relationship Id="rId194" Type="http://schemas.openxmlformats.org/officeDocument/2006/relationships/hyperlink" Target="https://www.xingtu.cn/ad/creator/author-homepage/douyin-video/7515706747558821914?market_track_id=V0L18ORLB0HFDNBMGWSO&amp;search_session_id=7572463472073343017&amp;possessStarId" TargetMode="External"/><Relationship Id="rId193" Type="http://schemas.openxmlformats.org/officeDocument/2006/relationships/hyperlink" Target="https://v.douyin.com/0QUqPDyOiYI/" TargetMode="External"/><Relationship Id="rId192" Type="http://schemas.openxmlformats.org/officeDocument/2006/relationships/hyperlink" Target="https://v.douyin.com/_FIjdu3XHpI/" TargetMode="External"/><Relationship Id="rId191" Type="http://schemas.openxmlformats.org/officeDocument/2006/relationships/hyperlink" Target="https://www.xingtu.cn/ad/creator/author-homepage/douyin-video/7381766949996331017?market_track_id=NEDQY0AMQQDYQN41G8CM&amp;search_session_id=7572463486438735878&amp;possessStarId" TargetMode="External"/><Relationship Id="rId190" Type="http://schemas.openxmlformats.org/officeDocument/2006/relationships/hyperlink" Target="https://v.douyin.com/Fo6zCYRvpPA/" TargetMode="External"/><Relationship Id="rId19" Type="http://schemas.openxmlformats.org/officeDocument/2006/relationships/hyperlink" Target="https://v.douyin.com/N7vAXXo/" TargetMode="External"/><Relationship Id="rId189" Type="http://schemas.openxmlformats.org/officeDocument/2006/relationships/hyperlink" Target="https://www.xingtu.cn/ad/creator/author-homepage/douyin-video/6716888711335772164?market_track_id=IFYOO8BHE9JNSSK8UBE6&amp;search_session_id=7571704554984472619&amp;possessStarId" TargetMode="External"/><Relationship Id="rId188" Type="http://schemas.openxmlformats.org/officeDocument/2006/relationships/hyperlink" Target="https://v.douyin.com/YnUjViz55N4/" TargetMode="External"/><Relationship Id="rId187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186" Type="http://schemas.openxmlformats.org/officeDocument/2006/relationships/hyperlink" Target="https://v.douyin.com/P9i7l467NEs/" TargetMode="External"/><Relationship Id="rId185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184" Type="http://schemas.openxmlformats.org/officeDocument/2006/relationships/hyperlink" Target="https://v.douyin.com/-b2XUM3O2qk/" TargetMode="External"/><Relationship Id="rId183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82" Type="http://schemas.openxmlformats.org/officeDocument/2006/relationships/hyperlink" Target="https://v.douyin.com/bHqAlsCKcIw/" TargetMode="External"/><Relationship Id="rId181" Type="http://schemas.openxmlformats.org/officeDocument/2006/relationships/hyperlink" Target="https://www.xingtu.cn/ad/creator/author-homepage/douyin-video/7407743938431287347?market_track_id=6VJJY5F6E3FS3YS952O9&amp;search_session_id=7566145823580274730&amp;possessStarId" TargetMode="External"/><Relationship Id="rId180" Type="http://schemas.openxmlformats.org/officeDocument/2006/relationships/hyperlink" Target="https://v.douyin.com/X59bTLxsw30/" TargetMode="External"/><Relationship Id="rId18" Type="http://schemas.openxmlformats.org/officeDocument/2006/relationships/hyperlink" Target="https://v.douyin.com/hQeDxNC/" TargetMode="External"/><Relationship Id="rId179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78" Type="http://schemas.openxmlformats.org/officeDocument/2006/relationships/hyperlink" Target="https://v.douyin.com/91XqThN95LU/" TargetMode="External"/><Relationship Id="rId177" Type="http://schemas.openxmlformats.org/officeDocument/2006/relationships/hyperlink" Target="https://www.xingtu.cn/ad/creator/author-homepage/douyin-video/6699318218474913804?market_track_id=UMCDEZE1JFMA2YLW7LSG&amp;search_session_id=7563966209005060150&amp;possessStarId" TargetMode="External"/><Relationship Id="rId176" Type="http://schemas.openxmlformats.org/officeDocument/2006/relationships/hyperlink" Target="https://v.douyin.com/H7lCQCl2gF4/" TargetMode="External"/><Relationship Id="rId175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74" Type="http://schemas.openxmlformats.org/officeDocument/2006/relationships/hyperlink" Target="https://v.douyin.com/NYLfLoo/" TargetMode="External"/><Relationship Id="rId173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72" Type="http://schemas.openxmlformats.org/officeDocument/2006/relationships/hyperlink" Target="https://v.douyin.com/YPNJaozIgqY/" TargetMode="External"/><Relationship Id="rId171" Type="http://schemas.openxmlformats.org/officeDocument/2006/relationships/hyperlink" Target="https://www.xingtu.cn/ad/creator/author-homepage/douyin-video/7407347330132738057?market_track_id=7SU5QKEZ921HNV6839I8&amp;search_session_id=7559782211450028086&amp;possessStarId" TargetMode="External"/><Relationship Id="rId170" Type="http://schemas.openxmlformats.org/officeDocument/2006/relationships/hyperlink" Target="https://v.douyin.com/5LLBqQm4uf4/" TargetMode="External"/><Relationship Id="rId17" Type="http://schemas.openxmlformats.org/officeDocument/2006/relationships/hyperlink" Target="https://v.douyin.com/rVAPr2p/" TargetMode="External"/><Relationship Id="rId169" Type="http://schemas.openxmlformats.org/officeDocument/2006/relationships/hyperlink" Target="https://v.douyin.com/EYsYmOl35_o/" TargetMode="External"/><Relationship Id="rId168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67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66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65" Type="http://schemas.openxmlformats.org/officeDocument/2006/relationships/hyperlink" Target="https://v.douyin.com/FmolR1KJook/" TargetMode="External"/><Relationship Id="rId164" Type="http://schemas.openxmlformats.org/officeDocument/2006/relationships/hyperlink" Target="https://v.douyin.com/eXcXMuA/" TargetMode="External"/><Relationship Id="rId163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62" Type="http://schemas.openxmlformats.org/officeDocument/2006/relationships/hyperlink" Target="https://v.douyin.com/eNCSeHH/" TargetMode="External"/><Relationship Id="rId161" Type="http://schemas.openxmlformats.org/officeDocument/2006/relationships/hyperlink" Target="https://www.xingtu.cn/ad/creator/author-homepage/douyin-video/7187348189282828322?market_track_id=R423INSAAL9SF4RUDHTZ&amp;search_session_id=7553117274304331812&amp;possessStarId" TargetMode="External"/><Relationship Id="rId160" Type="http://schemas.openxmlformats.org/officeDocument/2006/relationships/hyperlink" Target="https://v.douyin.com/8X9N7CXaq1E/" TargetMode="External"/><Relationship Id="rId16" Type="http://schemas.openxmlformats.org/officeDocument/2006/relationships/hyperlink" Target="https://v.douyin.com/rNwDm9W/" TargetMode="External"/><Relationship Id="rId159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58" Type="http://schemas.openxmlformats.org/officeDocument/2006/relationships/hyperlink" Target="https://v.douyin.com/YVnZ2nB_6tQ/ 9@0.com" TargetMode="External"/><Relationship Id="rId157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56" Type="http://schemas.openxmlformats.org/officeDocument/2006/relationships/hyperlink" Target="https://v.douyin.com/l9yMFgFF4Ic/" TargetMode="External"/><Relationship Id="rId155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54" Type="http://schemas.openxmlformats.org/officeDocument/2006/relationships/hyperlink" Target="https://v.douyin.com/em3sFvS6LMA/" TargetMode="External"/><Relationship Id="rId153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52" Type="http://schemas.openxmlformats.org/officeDocument/2006/relationships/hyperlink" Target="https://v.douyin.com/9AFkA0NTkFQ/" TargetMode="External"/><Relationship Id="rId151" Type="http://schemas.openxmlformats.org/officeDocument/2006/relationships/hyperlink" Target="https://v.douyin.com/Y_T6k4YZ1jA/" TargetMode="External"/><Relationship Id="rId150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48" Type="http://schemas.openxmlformats.org/officeDocument/2006/relationships/hyperlink" Target="https://v.douyin.com/NfM4H3xVgqI/ 0@0.com" TargetMode="External"/><Relationship Id="rId147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146" Type="http://schemas.openxmlformats.org/officeDocument/2006/relationships/hyperlink" Target="https://v.douyin.com/SfXQxQL349E/ 7@4.com" TargetMode="External"/><Relationship Id="rId145" Type="http://schemas.openxmlformats.org/officeDocument/2006/relationships/hyperlink" Target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44" Type="http://schemas.openxmlformats.org/officeDocument/2006/relationships/hyperlink" Target="https://v.douyin.com/sAN6OJdtQJk/ 5@8.com" TargetMode="External"/><Relationship Id="rId143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2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1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0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8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7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6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5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4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3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FukGc9y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8" Type="http://schemas.openxmlformats.org/officeDocument/2006/relationships/hyperlink" Target="https://v.douyin.com/iM2BnUWc/" TargetMode="External"/><Relationship Id="rId37" Type="http://schemas.openxmlformats.org/officeDocument/2006/relationships/hyperlink" Target="https://v.douyin.com/i5WxXkUV/" TargetMode="External"/><Relationship Id="rId36" Type="http://schemas.openxmlformats.org/officeDocument/2006/relationships/hyperlink" Target="https://v.douyin.com/b6GOMqiezVg/" TargetMode="External"/><Relationship Id="rId35" Type="http://schemas.openxmlformats.org/officeDocument/2006/relationships/hyperlink" Target="https://v.douyin.com/Rxq1VX9/" TargetMode="External"/><Relationship Id="rId34" Type="http://schemas.openxmlformats.org/officeDocument/2006/relationships/hyperlink" Target="https://v.douyin.com/8fK-mzMbqx4/ 9@3.com" TargetMode="External"/><Relationship Id="rId33" Type="http://schemas.openxmlformats.org/officeDocument/2006/relationships/hyperlink" Target="https://v.douyin.com/ijRaTmKu/" TargetMode="External"/><Relationship Id="rId32" Type="http://schemas.openxmlformats.org/officeDocument/2006/relationships/hyperlink" Target="https://v.douyin.com/vG6xXKcEm1M/" TargetMode="External"/><Relationship Id="rId31" Type="http://schemas.openxmlformats.org/officeDocument/2006/relationships/hyperlink" Target="https://v.douyin.com/qtWVvJiFOXw/" TargetMode="External"/><Relationship Id="rId30" Type="http://schemas.openxmlformats.org/officeDocument/2006/relationships/hyperlink" Target="https://v.douyin.com/bmOwXBxZVL0/" TargetMode="External"/><Relationship Id="rId3" Type="http://schemas.openxmlformats.org/officeDocument/2006/relationships/hyperlink" Target="https://v.douyin.com/eYqMACg/" TargetMode="External"/><Relationship Id="rId29" Type="http://schemas.openxmlformats.org/officeDocument/2006/relationships/hyperlink" Target="https://v.douyin.com/iR6RY8xk/" TargetMode="External"/><Relationship Id="rId28" Type="http://schemas.openxmlformats.org/officeDocument/2006/relationships/hyperlink" Target="https://v.douyin.com/iLXhmbEv/" TargetMode="External"/><Relationship Id="rId27" Type="http://schemas.openxmlformats.org/officeDocument/2006/relationships/hyperlink" Target="https://v.douyin.com/iJBkt6n2/" TargetMode="External"/><Relationship Id="rId26" Type="http://schemas.openxmlformats.org/officeDocument/2006/relationships/hyperlink" Target="https://v.douyin.com/iSkaX3wK/ 7@4.com" TargetMode="External"/><Relationship Id="rId25" Type="http://schemas.openxmlformats.org/officeDocument/2006/relationships/hyperlink" Target="https://v.douyin.com/iMnTEUEQ/ 5" TargetMode="External"/><Relationship Id="rId24" Type="http://schemas.openxmlformats.org/officeDocument/2006/relationships/hyperlink" Target="https://v.douyin.com/iFnqKRPt/ 5@4.com" TargetMode="External"/><Relationship Id="rId23" Type="http://schemas.openxmlformats.org/officeDocument/2006/relationships/hyperlink" Target="https://v.douyin.com/eVfJN5H/" TargetMode="External"/><Relationship Id="rId22" Type="http://schemas.openxmlformats.org/officeDocument/2006/relationships/hyperlink" Target="https://v.douyin.com/eVyoRpH/" TargetMode="External"/><Relationship Id="rId21" Type="http://schemas.openxmlformats.org/officeDocument/2006/relationships/hyperlink" Target="https://v.douyin.com/i6jxhjWt/ 0@5.com" TargetMode="External"/><Relationship Id="rId20" Type="http://schemas.openxmlformats.org/officeDocument/2006/relationships/hyperlink" Target="https://v.douyin.com/i2RS3sn4/ 5@1.com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EoRCNC/" TargetMode="External"/><Relationship Id="rId18" Type="http://schemas.openxmlformats.org/officeDocument/2006/relationships/hyperlink" Target="https://v.douyin.com/Mso7q78/" TargetMode="External"/><Relationship Id="rId17" Type="http://schemas.openxmlformats.org/officeDocument/2006/relationships/hyperlink" Target="https://v.douyin.com/idgFtebK/" TargetMode="External"/><Relationship Id="rId16" Type="http://schemas.openxmlformats.org/officeDocument/2006/relationships/hyperlink" Target="https://v.douyin.com/idbgpq8H/" TargetMode="External"/><Relationship Id="rId15" Type="http://schemas.openxmlformats.org/officeDocument/2006/relationships/hyperlink" Target="https://v.douyin.com/hL3oFpS/" TargetMode="External"/><Relationship Id="rId14" Type="http://schemas.openxmlformats.org/officeDocument/2006/relationships/hyperlink" Target="https://v.douyin.com/A8oV6Rg/" TargetMode="External"/><Relationship Id="rId13" Type="http://schemas.openxmlformats.org/officeDocument/2006/relationships/hyperlink" Target="https://v.douyin.com/ie2bqhFJ/" TargetMode="External"/><Relationship Id="rId12" Type="http://schemas.openxmlformats.org/officeDocument/2006/relationships/hyperlink" Target="https://v.douyin.com/iJsMgCaF/" TargetMode="External"/><Relationship Id="rId11" Type="http://schemas.openxmlformats.org/officeDocument/2006/relationships/hyperlink" Target="https://v.douyin.com/d92Ym7m/" TargetMode="External"/><Relationship Id="rId10" Type="http://schemas.openxmlformats.org/officeDocument/2006/relationships/hyperlink" Target="https://v.douyin.com/iCQLdB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aohongshu.com/user/profile/5f685cfe0000000001007dcb" TargetMode="External"/><Relationship Id="rId98" Type="http://schemas.openxmlformats.org/officeDocument/2006/relationships/hyperlink" Target="https://pgy.xiaohongshu.com/solar/pre-trade/blogger-detail/5988a08250c4b438e2221e0d?track_id=kolSearch_968f0410d7154a91a274acdd686dea65&amp;source=Advertiser_Kol" TargetMode="External"/><Relationship Id="rId97" Type="http://schemas.openxmlformats.org/officeDocument/2006/relationships/hyperlink" Target="https://www.xiaohongshu.com/user/profile/5988a08250c4b438e2221e0d" TargetMode="External"/><Relationship Id="rId96" Type="http://schemas.openxmlformats.org/officeDocument/2006/relationships/hyperlink" Target="https://pgy.xiaohongshu.com/solar/pre-trade/blogger-detail/63135ed0000000001200e086?track_id=" TargetMode="External"/><Relationship Id="rId95" Type="http://schemas.openxmlformats.org/officeDocument/2006/relationships/hyperlink" Target="https://xhslink.com/m/5UgcvtObNbD" TargetMode="External"/><Relationship Id="rId94" Type="http://schemas.openxmlformats.org/officeDocument/2006/relationships/hyperlink" Target="https://pgy.xiaohongshu.com/solar/pre-trade/blogger-detail/63a6fc520000000027029c8d?track_id=" TargetMode="External"/><Relationship Id="rId93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92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91" Type="http://schemas.openxmlformats.org/officeDocument/2006/relationships/hyperlink" Target="https://pgy.xiaohongshu.com/solar/pre-trade/blogger-detail/5b5d36c7e8ac2b35b1e6213d?track_id=" TargetMode="External"/><Relationship Id="rId90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88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87" Type="http://schemas.openxmlformats.org/officeDocument/2006/relationships/hyperlink" Target="https://www.xiaohongshu.com/user/profile/62efa5f7000000001f005b9a?xsec_token=YBd-vS5sMOuCxh9m-6YHFO4uiMN2r-upH5aaCEF_Q33Ms=&amp;xsec_source=app_share&amp;xhsshare=CopyLink&amp;appuid=5f6887c9000000000100b2fc&amp;apptime=1749543031&amp;share_id=ed0cb645c4b24686ba1737e9868cbca2" TargetMode="External"/><Relationship Id="rId86" Type="http://schemas.openxmlformats.org/officeDocument/2006/relationships/hyperlink" Target="https://pgy.xiaohongshu.com/solar/pre-trade/blogger-detail/62efa5f7000000001f005b9a?track_id=kolSearch_62241b1dd4594800a7785e1e3f10022c&amp;source=Advertiser_Kol" TargetMode="External"/><Relationship Id="rId85" Type="http://schemas.openxmlformats.org/officeDocument/2006/relationships/hyperlink" Target="https://pgy.xiaohongshu.com/solar/pre-trade/blogger-detail/5e5b7cfc0000000001008cc9?track_id=kolSearch_6b5730c78d854c8f8faea2ad6e85c415&amp;source=Advertiser_Kol" TargetMode="External"/><Relationship Id="rId84" Type="http://schemas.openxmlformats.org/officeDocument/2006/relationships/hyperlink" Target="https://www.xiaohongshu.com/user/profile/5e5b7cfc0000000001008cc9?xsec_token=YBbKKN6nVkufj08exnHTM2ZjSXanzjAeJv16sdRtVOIHQ=&amp;xsec_source=app_share&amp;xhsshare=CopyLink&amp;appuid=5f6887c9000000000100b2fc&amp;apptime=1742541405&amp;share_id=d7bb17681d794c69b09453de08d40d1e" TargetMode="External"/><Relationship Id="rId83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82" Type="http://schemas.openxmlformats.org/officeDocument/2006/relationships/hyperlink" Target="https://pgy.xiaohongshu.com/solar/pre-trade/blogger-detail/5bb1fa139cb8ac00010e9eb6?track_id=" TargetMode="External"/><Relationship Id="rId81" Type="http://schemas.openxmlformats.org/officeDocument/2006/relationships/hyperlink" Target="https://pgy.xiaohongshu.com/solar/pre-trade/blogger-detail/61e6675f0000000010009eae?track_id=" TargetMode="External"/><Relationship Id="rId80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78" Type="http://schemas.openxmlformats.org/officeDocument/2006/relationships/hyperlink" Target="https://www.xiaohongshu.com/user/profile/58ca16696a6a69748a40c696" TargetMode="External"/><Relationship Id="rId77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76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75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74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73" Type="http://schemas.openxmlformats.org/officeDocument/2006/relationships/hyperlink" Target="https://pgy.xiaohongshu.com/solar/pre-trade/blogger-detail/5b88b4da0d26190001bfd0e8?track_id=kolSearch_bce217027a71405d9fc4804dadb17e0c&amp;source=Advertiser_Kol" TargetMode="External"/><Relationship Id="rId72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71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70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68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67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66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65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64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63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2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61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60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58" Type="http://schemas.openxmlformats.org/officeDocument/2006/relationships/hyperlink" Target="https://pgy.xiaohongshu.com/solar/pre-trade/blogger-detail/5c9187d70000000011009340?track_id=kolSearch_3c260d82929647958415a94a180bb98d&amp;source=Advertiser_Kol" TargetMode="External"/><Relationship Id="rId57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56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55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54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3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2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1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50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48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47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46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45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4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3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2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1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40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38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37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36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35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4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3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2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1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30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28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27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26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5" Type="http://schemas.openxmlformats.org/officeDocument/2006/relationships/hyperlink" Target="https://www.xiaohongshu.com/user/profile/5c9187d70000000011009340?xhsshare=CopyLink&amp;appuid=5f6887c9000000000100b2fc&amp;apptime=1689591526" TargetMode="External"/><Relationship Id="rId24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3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2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1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0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18" Type="http://schemas.openxmlformats.org/officeDocument/2006/relationships/hyperlink" Target="https://www.xiaohongshu.com/user/profile/5b88b4da0d26190001bfd0e8?xhsshare=CopyLink&amp;appuid=5f6887c9000000000100b2fc&amp;apptime=1676623879" TargetMode="External"/><Relationship Id="rId17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6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0" Type="http://schemas.openxmlformats.org/officeDocument/2006/relationships/hyperlink" Target="https://pgy.xiaohongshu.com/solar/pre-trade/blogger-detail/5f685cfe0000000001007dcb?track_id=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hyperlink" Target="https://is.snssdk.com/motor/ugc/profile.html?link_source=share&amp;the_user_id=997944708048468" TargetMode="External"/><Relationship Id="rId5" Type="http://schemas.openxmlformats.org/officeDocument/2006/relationships/hyperlink" Target="https://is.snssdk.com/motor/ugc/profile.html?link_source=share&amp;the_user_id=7320871251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xiaodudu20181208" TargetMode="External"/><Relationship Id="rId8" Type="http://schemas.openxmlformats.org/officeDocument/2006/relationships/hyperlink" Target="https://live.kuaishou.com/profile/Jinbo9805" TargetMode="External"/><Relationship Id="rId7" Type="http://schemas.openxmlformats.org/officeDocument/2006/relationships/hyperlink" Target="https://live.kuaishou.com/profile/3xbn4pn987uua5q" TargetMode="External"/><Relationship Id="rId6" Type="http://schemas.openxmlformats.org/officeDocument/2006/relationships/hyperlink" Target="https://live.kuaishou.com/profile/Dahuangh" TargetMode="External"/><Relationship Id="rId5" Type="http://schemas.openxmlformats.org/officeDocument/2006/relationships/hyperlink" Target="https://live.kuaishou.com/profile/yaner957" TargetMode="External"/><Relationship Id="rId4" Type="http://schemas.openxmlformats.org/officeDocument/2006/relationships/hyperlink" Target="https://live.kuaishou.com/profile/Roududu1998z" TargetMode="External"/><Relationship Id="rId3" Type="http://schemas.openxmlformats.org/officeDocument/2006/relationships/hyperlink" Target="https://live.kuaishou.com/profile/Handsomeht" TargetMode="External"/><Relationship Id="rId28" Type="http://schemas.openxmlformats.org/officeDocument/2006/relationships/hyperlink" Target="https://v.kuaishou.com/JfESauIY" TargetMode="External"/><Relationship Id="rId27" Type="http://schemas.openxmlformats.org/officeDocument/2006/relationships/hyperlink" Target="https://v.kuaishou.com/nuLqSDG3" TargetMode="External"/><Relationship Id="rId26" Type="http://schemas.openxmlformats.org/officeDocument/2006/relationships/hyperlink" Target="https://v.kuaishou.com/KIJDmKoP" TargetMode="External"/><Relationship Id="rId25" Type="http://schemas.openxmlformats.org/officeDocument/2006/relationships/hyperlink" Target="https://live.kuaishou.com/profile/3xt6e7ftwjievc4" TargetMode="External"/><Relationship Id="rId24" Type="http://schemas.openxmlformats.org/officeDocument/2006/relationships/hyperlink" Target="https://v.kuaishou.com/iTF8WX" TargetMode="External"/><Relationship Id="rId23" Type="http://schemas.openxmlformats.org/officeDocument/2006/relationships/hyperlink" Target="https://v.kuaishou.com/kpTXgm" TargetMode="External"/><Relationship Id="rId22" Type="http://schemas.openxmlformats.org/officeDocument/2006/relationships/hyperlink" Target="https://live.kuaishou.com/profile/Thesmallyear" TargetMode="External"/><Relationship Id="rId21" Type="http://schemas.openxmlformats.org/officeDocument/2006/relationships/hyperlink" Target="https://live.kuaishou.com/profile/ygxdwl666" TargetMode="External"/><Relationship Id="rId20" Type="http://schemas.openxmlformats.org/officeDocument/2006/relationships/hyperlink" Target="https://live.kuaishou.com/profile/3xjjzysswd2hqqm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KK13881688" TargetMode="External"/><Relationship Id="rId18" Type="http://schemas.openxmlformats.org/officeDocument/2006/relationships/hyperlink" Target="https://live.kuaishou.com/profile/A77777774_" TargetMode="External"/><Relationship Id="rId17" Type="http://schemas.openxmlformats.org/officeDocument/2006/relationships/hyperlink" Target="https://live.kuaishou.com/profile/3xqsxy7pk7b3rq9" TargetMode="External"/><Relationship Id="rId16" Type="http://schemas.openxmlformats.org/officeDocument/2006/relationships/hyperlink" Target="https://live.kuaishou.com/profile/xrr888006" TargetMode="External"/><Relationship Id="rId15" Type="http://schemas.openxmlformats.org/officeDocument/2006/relationships/hyperlink" Target="https://live.kuaishou.com/profile/yihang112244" TargetMode="External"/><Relationship Id="rId14" Type="http://schemas.openxmlformats.org/officeDocument/2006/relationships/hyperlink" Target="https://live.kuaishou.com/profile/Xiaxia977" TargetMode="External"/><Relationship Id="rId13" Type="http://schemas.openxmlformats.org/officeDocument/2006/relationships/hyperlink" Target="https://live.kuaishou.com/profile/bigefeixi" TargetMode="External"/><Relationship Id="rId12" Type="http://schemas.openxmlformats.org/officeDocument/2006/relationships/hyperlink" Target="https://live.kuaishou.com/profile/zhousanshi0818" TargetMode="External"/><Relationship Id="rId11" Type="http://schemas.openxmlformats.org/officeDocument/2006/relationships/hyperlink" Target="https://live.kuaishou.com/profile/wutangnaicha23" TargetMode="External"/><Relationship Id="rId10" Type="http://schemas.openxmlformats.org/officeDocument/2006/relationships/hyperlink" Target="https://live.kuaishou.com/profile/xxy1129xy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438538373?spm_id_from=333.337.0.0" TargetMode="External"/><Relationship Id="rId8" Type="http://schemas.openxmlformats.org/officeDocument/2006/relationships/hyperlink" Target="https://space.bilibili.com/686354330?spm_id_from=333.337.0.0" TargetMode="External"/><Relationship Id="rId7" Type="http://schemas.openxmlformats.org/officeDocument/2006/relationships/hyperlink" Target="https://space.bilibili.com/197278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2" Type="http://schemas.openxmlformats.org/officeDocument/2006/relationships/hyperlink" Target="https://b23.tv/5RDMxVH" TargetMode="External"/><Relationship Id="rId11" Type="http://schemas.openxmlformats.org/officeDocument/2006/relationships/hyperlink" Target="https://space.bilibili.com/3494370374322460?spm_id_from=333.337.0.0" TargetMode="External"/><Relationship Id="rId10" Type="http://schemas.openxmlformats.org/officeDocument/2006/relationships/hyperlink" Target="https://space.bilibili.com/1376579261?spm_id_from=333.337.0.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rfgepnY/" TargetMode="External"/><Relationship Id="rId8" Type="http://schemas.openxmlformats.org/officeDocument/2006/relationships/hyperlink" Target="https://v.douyin.com/2W7nbwM/" TargetMode="External"/><Relationship Id="rId7" Type="http://schemas.openxmlformats.org/officeDocument/2006/relationships/hyperlink" Target="https://v.douyin.com/jcNSUkH/" TargetMode="External"/><Relationship Id="rId61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0" Type="http://schemas.openxmlformats.org/officeDocument/2006/relationships/hyperlink" Target="https://v.douyin.com/NYLLwJm/" TargetMode="External"/><Relationship Id="rId6" Type="http://schemas.openxmlformats.org/officeDocument/2006/relationships/hyperlink" Target="https://v.douyin.com/e1dnU3C/" TargetMode="External"/><Relationship Id="rId59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8" Type="http://schemas.openxmlformats.org/officeDocument/2006/relationships/hyperlink" Target="https://v.douyin.com/UYCTfS6/" TargetMode="External"/><Relationship Id="rId57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6" Type="http://schemas.openxmlformats.org/officeDocument/2006/relationships/hyperlink" Target="https://v.douyin.com/BbNG319/" TargetMode="External"/><Relationship Id="rId55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54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53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52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51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50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5" Type="http://schemas.openxmlformats.org/officeDocument/2006/relationships/hyperlink" Target="https://v.douyin.com/e1dopKv/" TargetMode="External"/><Relationship Id="rId49" Type="http://schemas.openxmlformats.org/officeDocument/2006/relationships/hyperlink" Target="https://www.xingtu.cn/ad/creator/author-homepage/douyin-video/6742066222692565006?market_track_id=FZADQ8CXP9WR64C04VUF&amp;search_session_id=7550219814963724307&amp;possessStarId" TargetMode="External"/><Relationship Id="rId48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47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46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45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44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43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42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41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40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4" Type="http://schemas.openxmlformats.org/officeDocument/2006/relationships/hyperlink" Target="https://v.douyin.com/e18x2s1/" TargetMode="External"/><Relationship Id="rId39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38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37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36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35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34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33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32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31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30" Type="http://schemas.openxmlformats.org/officeDocument/2006/relationships/hyperlink" Target="https://www.xingtu.cn/ad/creator/author-homepage/douyin-video/6596677802471194632?market_track_id=7K3P848J94AIY0B8HVXG&amp;search_session_id=7550214716455993398&amp;possessStarId" TargetMode="External"/><Relationship Id="rId3" Type="http://schemas.openxmlformats.org/officeDocument/2006/relationships/hyperlink" Target="https://v.douyin.com/eaRJPHe/" TargetMode="External"/><Relationship Id="rId29" Type="http://schemas.openxmlformats.org/officeDocument/2006/relationships/hyperlink" Target="https://www.xingtu.cn/ad/creator/author-homepage/douyin-video/7076403130594033678?market_track_id=P8TI4U0ZI419EIVFDDYY&amp;search_session_id=7550213941088731178&amp;possessStarId" TargetMode="External"/><Relationship Id="rId28" Type="http://schemas.openxmlformats.org/officeDocument/2006/relationships/hyperlink" Target="https://v.douyin.com/mQXUpIr3xO0/" TargetMode="External"/><Relationship Id="rId27" Type="http://schemas.openxmlformats.org/officeDocument/2006/relationships/hyperlink" Target="https://v.douyin.com/JSacLxr/" TargetMode="External"/><Relationship Id="rId26" Type="http://schemas.openxmlformats.org/officeDocument/2006/relationships/hyperlink" Target="https://v.douyin.com/C2FPaiMOprM/" TargetMode="External"/><Relationship Id="rId25" Type="http://schemas.openxmlformats.org/officeDocument/2006/relationships/hyperlink" Target="https://v.douyin.com/iY85wBRt/" TargetMode="External"/><Relationship Id="rId24" Type="http://schemas.openxmlformats.org/officeDocument/2006/relationships/hyperlink" Target="https://v.douyin.com/hqXeQ5d/" TargetMode="External"/><Relationship Id="rId23" Type="http://schemas.openxmlformats.org/officeDocument/2006/relationships/hyperlink" Target="https://v.douyin.com/M3spsCWS4Tc/" TargetMode="External"/><Relationship Id="rId22" Type="http://schemas.openxmlformats.org/officeDocument/2006/relationships/hyperlink" Target="https://v.douyin.com/vP3VmxRgiLI/" TargetMode="External"/><Relationship Id="rId21" Type="http://schemas.openxmlformats.org/officeDocument/2006/relationships/hyperlink" Target="https://v.douyin.com/i8cKAwaa/ 8@0.com" TargetMode="External"/><Relationship Id="rId20" Type="http://schemas.openxmlformats.org/officeDocument/2006/relationships/hyperlink" Target="https://v.douyin.com/idjuYaHy/" TargetMode="External"/><Relationship Id="rId2" Type="http://schemas.openxmlformats.org/officeDocument/2006/relationships/hyperlink" Target="https://v.douyin.com/88tpRCb/" TargetMode="External"/><Relationship Id="rId19" Type="http://schemas.openxmlformats.org/officeDocument/2006/relationships/hyperlink" Target="https://v.douyin.com/iJW1TXLv/" TargetMode="External"/><Relationship Id="rId18" Type="http://schemas.openxmlformats.org/officeDocument/2006/relationships/hyperlink" Target="https://v.douyin.com/FswYnjx/" TargetMode="External"/><Relationship Id="rId17" Type="http://schemas.openxmlformats.org/officeDocument/2006/relationships/hyperlink" Target="https://v.douyin.com/i2nY4afF/" TargetMode="External"/><Relationship Id="rId16" Type="http://schemas.openxmlformats.org/officeDocument/2006/relationships/hyperlink" Target="https://v.douyin.com/nthyDT/" TargetMode="External"/><Relationship Id="rId15" Type="http://schemas.openxmlformats.org/officeDocument/2006/relationships/hyperlink" Target="https://v.douyin.com/i8aCMmDk/" TargetMode="External"/><Relationship Id="rId14" Type="http://schemas.openxmlformats.org/officeDocument/2006/relationships/hyperlink" Target="https://v.douyin.com/eNCkcEU/" TargetMode="External"/><Relationship Id="rId13" Type="http://schemas.openxmlformats.org/officeDocument/2006/relationships/hyperlink" Target="https://v.douyin.com/DDtQneX/" TargetMode="External"/><Relationship Id="rId12" Type="http://schemas.openxmlformats.org/officeDocument/2006/relationships/hyperlink" Target="https://v.douyin.com/yFCq9y3/" TargetMode="External"/><Relationship Id="rId11" Type="http://schemas.openxmlformats.org/officeDocument/2006/relationships/hyperlink" Target="https://v.douyin.com/yNkevye/" TargetMode="External"/><Relationship Id="rId10" Type="http://schemas.openxmlformats.org/officeDocument/2006/relationships/hyperlink" Target="https://v.douyin.com/A4Wbyjf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B1" sqref="B1:L1"/>
    </sheetView>
  </sheetViews>
  <sheetFormatPr defaultColWidth="9.81666666666667" defaultRowHeight="16.5"/>
  <cols>
    <col min="1" max="1" width="6" style="243" customWidth="1"/>
    <col min="2" max="6" width="9" style="243"/>
    <col min="7" max="7" width="10.3583333333333" style="243" customWidth="1"/>
    <col min="8" max="8" width="12.6416666666667" style="243" customWidth="1"/>
    <col min="9" max="11" width="9" style="243"/>
    <col min="12" max="12" width="30.5416666666667" style="243" customWidth="1"/>
    <col min="13" max="16379" width="9" style="243"/>
    <col min="16380" max="16384" width="9.81666666666667" style="243"/>
  </cols>
  <sheetData>
    <row r="1" s="243" customFormat="1" ht="30" customHeight="1" spans="1:19">
      <c r="A1" s="244"/>
      <c r="B1" s="245" t="s">
        <v>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4"/>
      <c r="N1" s="244"/>
      <c r="O1" s="244"/>
      <c r="P1" s="244"/>
      <c r="Q1" s="244"/>
      <c r="R1" s="244"/>
      <c r="S1" s="244"/>
    </row>
    <row r="2" s="243" customFormat="1" ht="12" customHeight="1" spans="1:19">
      <c r="A2" s="244"/>
      <c r="B2" s="247"/>
      <c r="C2" s="248"/>
      <c r="D2" s="248"/>
      <c r="E2" s="248"/>
      <c r="F2" s="248"/>
      <c r="G2" s="248"/>
      <c r="H2" s="248"/>
      <c r="I2" s="248"/>
      <c r="J2" s="248"/>
      <c r="K2" s="248"/>
      <c r="L2" s="249"/>
      <c r="M2" s="244"/>
      <c r="N2" s="244"/>
      <c r="O2" s="244"/>
      <c r="P2" s="244"/>
      <c r="Q2" s="244"/>
      <c r="R2" s="244"/>
      <c r="S2" s="244"/>
    </row>
    <row r="3" s="243" customFormat="1" ht="12" customHeight="1" spans="1:19">
      <c r="A3" s="244"/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44"/>
      <c r="N3" s="244"/>
      <c r="O3" s="244"/>
      <c r="P3" s="244"/>
      <c r="Q3" s="244"/>
      <c r="R3" s="244"/>
      <c r="S3" s="244"/>
    </row>
    <row r="4" s="243" customFormat="1" ht="12" customHeight="1" spans="1:19">
      <c r="A4" s="244"/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2"/>
      <c r="M4" s="244"/>
      <c r="N4" s="244"/>
      <c r="O4" s="244"/>
      <c r="P4" s="244"/>
      <c r="Q4" s="244"/>
      <c r="R4" s="244"/>
      <c r="S4" s="244"/>
    </row>
    <row r="5" s="243" customFormat="1" ht="11.15" customHeight="1" spans="1:19">
      <c r="A5" s="244"/>
      <c r="B5" s="250"/>
      <c r="C5" s="251"/>
      <c r="D5" s="251"/>
      <c r="E5" s="251"/>
      <c r="F5" s="251"/>
      <c r="G5" s="251"/>
      <c r="H5" s="251"/>
      <c r="I5" s="251"/>
      <c r="J5" s="251"/>
      <c r="K5" s="251"/>
      <c r="L5" s="252"/>
      <c r="M5" s="244"/>
      <c r="N5" s="244"/>
      <c r="O5" s="244"/>
      <c r="P5" s="244"/>
      <c r="Q5" s="244"/>
      <c r="R5" s="244"/>
      <c r="S5" s="244"/>
    </row>
    <row r="6" s="243" customFormat="1" ht="9" customHeight="1" spans="1:19">
      <c r="A6" s="244"/>
      <c r="B6" s="250"/>
      <c r="C6" s="251"/>
      <c r="D6" s="251"/>
      <c r="E6" s="251"/>
      <c r="F6" s="251"/>
      <c r="G6" s="251"/>
      <c r="H6" s="251"/>
      <c r="I6" s="251"/>
      <c r="J6" s="251"/>
      <c r="K6" s="251"/>
      <c r="L6" s="252"/>
      <c r="M6" s="244"/>
      <c r="N6" s="244"/>
      <c r="O6" s="244"/>
      <c r="P6" s="244"/>
      <c r="Q6" s="244"/>
      <c r="R6" s="244"/>
      <c r="S6" s="244"/>
    </row>
    <row r="7" s="243" customFormat="1" ht="13" customHeight="1" spans="1:19">
      <c r="A7" s="244"/>
      <c r="B7" s="250"/>
      <c r="C7" s="251"/>
      <c r="D7" s="251"/>
      <c r="E7" s="251"/>
      <c r="F7" s="251"/>
      <c r="G7" s="251"/>
      <c r="H7" s="251"/>
      <c r="I7" s="251"/>
      <c r="J7" s="251"/>
      <c r="K7" s="251"/>
      <c r="L7" s="252"/>
      <c r="M7" s="244"/>
      <c r="N7" s="244"/>
      <c r="O7" s="244"/>
      <c r="P7" s="244"/>
      <c r="Q7" s="244"/>
      <c r="R7" s="244"/>
      <c r="S7" s="244"/>
    </row>
    <row r="8" s="243" customFormat="1" ht="19" customHeight="1" spans="1:19">
      <c r="A8" s="244"/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2"/>
      <c r="M8" s="244"/>
      <c r="N8" s="244"/>
      <c r="O8" s="244"/>
      <c r="P8" s="244"/>
      <c r="Q8" s="244"/>
      <c r="R8" s="244"/>
      <c r="S8" s="244"/>
    </row>
    <row r="9" s="243" customFormat="1" ht="5" customHeight="1" spans="1:19">
      <c r="A9" s="244"/>
      <c r="B9" s="250"/>
      <c r="C9" s="251"/>
      <c r="D9" s="251"/>
      <c r="E9" s="251"/>
      <c r="F9" s="251"/>
      <c r="G9" s="251"/>
      <c r="H9" s="251"/>
      <c r="I9" s="251"/>
      <c r="J9" s="251"/>
      <c r="K9" s="251"/>
      <c r="L9" s="252"/>
      <c r="M9" s="244"/>
      <c r="N9" s="244"/>
      <c r="O9" s="244"/>
      <c r="P9" s="244"/>
      <c r="Q9" s="244"/>
      <c r="R9" s="244"/>
      <c r="S9" s="244"/>
    </row>
    <row r="10" s="243" customFormat="1" ht="19" hidden="1" customHeight="1" spans="1:19">
      <c r="A10" s="244"/>
      <c r="B10" s="250"/>
      <c r="C10" s="251"/>
      <c r="D10" s="251"/>
      <c r="E10" s="251"/>
      <c r="F10" s="251"/>
      <c r="G10" s="251"/>
      <c r="H10" s="251"/>
      <c r="I10" s="251"/>
      <c r="J10" s="251"/>
      <c r="K10" s="251"/>
      <c r="L10" s="252"/>
      <c r="M10" s="244"/>
      <c r="N10" s="244"/>
      <c r="O10" s="244"/>
      <c r="P10" s="244"/>
      <c r="Q10" s="244"/>
      <c r="R10" s="244"/>
      <c r="S10" s="244"/>
    </row>
    <row r="11" s="243" customFormat="1" ht="19" hidden="1" customHeight="1" spans="1:19">
      <c r="A11" s="244"/>
      <c r="B11" s="250"/>
      <c r="C11" s="251"/>
      <c r="D11" s="251"/>
      <c r="E11" s="251"/>
      <c r="F11" s="251"/>
      <c r="G11" s="251"/>
      <c r="H11" s="251"/>
      <c r="I11" s="251"/>
      <c r="J11" s="251"/>
      <c r="K11" s="251"/>
      <c r="L11" s="252"/>
      <c r="M11" s="244"/>
      <c r="N11" s="244"/>
      <c r="O11" s="244"/>
      <c r="P11" s="244"/>
      <c r="Q11" s="244"/>
      <c r="R11" s="244"/>
      <c r="S11" s="244"/>
    </row>
    <row r="12" s="243" customFormat="1" ht="19" hidden="1" customHeight="1" spans="1:19">
      <c r="A12" s="244"/>
      <c r="B12" s="250"/>
      <c r="C12" s="253"/>
      <c r="D12" s="253"/>
      <c r="E12" s="253"/>
      <c r="F12" s="253"/>
      <c r="G12" s="253"/>
      <c r="H12" s="253"/>
      <c r="I12" s="253"/>
      <c r="J12" s="253"/>
      <c r="K12" s="253"/>
      <c r="L12" s="252"/>
      <c r="M12" s="244"/>
      <c r="N12" s="244"/>
      <c r="O12" s="244"/>
      <c r="P12" s="244"/>
      <c r="Q12" s="244"/>
      <c r="R12" s="244"/>
      <c r="S12" s="244"/>
    </row>
    <row r="13" s="243" customFormat="1" ht="39" customHeight="1" spans="1:19">
      <c r="A13" s="244"/>
      <c r="B13" s="250"/>
      <c r="C13" s="253"/>
      <c r="D13" s="253"/>
      <c r="E13" s="253"/>
      <c r="F13" s="253"/>
      <c r="G13" s="253"/>
      <c r="H13" s="253"/>
      <c r="I13" s="253"/>
      <c r="J13" s="253"/>
      <c r="K13" s="253"/>
      <c r="L13" s="252"/>
      <c r="M13" s="244"/>
      <c r="N13" s="244"/>
      <c r="O13" s="244"/>
      <c r="P13" s="244"/>
      <c r="Q13" s="244"/>
      <c r="R13" s="244"/>
      <c r="S13" s="244"/>
    </row>
    <row r="14" s="243" customFormat="1" ht="24" customHeight="1" spans="1:19">
      <c r="A14" s="244"/>
      <c r="B14" s="254"/>
      <c r="C14" s="255"/>
      <c r="D14" s="255"/>
      <c r="E14" s="255"/>
      <c r="F14" s="255"/>
      <c r="G14" s="255"/>
      <c r="H14" s="255"/>
      <c r="I14" s="255"/>
      <c r="J14" s="255"/>
      <c r="K14" s="255"/>
      <c r="L14" s="256"/>
      <c r="M14" s="244"/>
      <c r="N14" s="244"/>
      <c r="O14" s="257"/>
      <c r="P14" s="257"/>
      <c r="Q14" s="244"/>
      <c r="R14" s="244"/>
      <c r="S14" s="244"/>
    </row>
    <row r="15" s="243" customFormat="1" ht="50" customHeight="1" spans="1:19">
      <c r="A15" s="244"/>
      <c r="B15" s="258" t="s">
        <v>1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60"/>
      <c r="M15" s="244"/>
      <c r="N15" s="244"/>
      <c r="O15" s="257"/>
      <c r="P15" s="257"/>
      <c r="Q15" s="244"/>
      <c r="R15" s="244"/>
      <c r="S15" s="244"/>
    </row>
    <row r="16" s="243" customFormat="1" ht="18.75" spans="1:19">
      <c r="A16" s="244"/>
      <c r="B16" s="261" t="s">
        <v>2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44"/>
      <c r="N16" s="244"/>
      <c r="O16" s="257"/>
      <c r="P16" s="257"/>
      <c r="Q16" s="244"/>
      <c r="R16" s="244"/>
      <c r="S16" s="244"/>
    </row>
    <row r="17" s="243" customFormat="1" spans="1:19">
      <c r="A17" s="244"/>
      <c r="B17" s="263" t="s">
        <v>3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5"/>
      <c r="M17" s="244"/>
      <c r="N17" s="244"/>
      <c r="O17" s="257"/>
      <c r="P17" s="257"/>
      <c r="Q17" s="244"/>
      <c r="R17" s="244"/>
      <c r="S17" s="244"/>
    </row>
    <row r="18" s="243" customFormat="1" spans="1:19">
      <c r="A18" s="244"/>
      <c r="B18" s="266"/>
      <c r="C18" s="267"/>
      <c r="D18" s="267"/>
      <c r="E18" s="267"/>
      <c r="F18" s="267"/>
      <c r="G18" s="267"/>
      <c r="H18" s="267"/>
      <c r="I18" s="267"/>
      <c r="J18" s="267"/>
      <c r="K18" s="267"/>
      <c r="L18" s="268"/>
      <c r="M18" s="244"/>
      <c r="N18" s="244"/>
      <c r="O18" s="257"/>
      <c r="P18" s="257"/>
      <c r="Q18" s="244"/>
      <c r="R18" s="244"/>
      <c r="S18" s="244"/>
    </row>
    <row r="19" s="243" customFormat="1" spans="1:19">
      <c r="A19" s="244"/>
      <c r="B19" s="266"/>
      <c r="C19" s="267"/>
      <c r="D19" s="267"/>
      <c r="E19" s="267"/>
      <c r="F19" s="267"/>
      <c r="G19" s="267"/>
      <c r="H19" s="267"/>
      <c r="I19" s="267"/>
      <c r="J19" s="267"/>
      <c r="K19" s="267"/>
      <c r="L19" s="268"/>
      <c r="M19" s="244"/>
      <c r="N19" s="244"/>
      <c r="O19" s="244"/>
      <c r="P19" s="244"/>
      <c r="Q19" s="244"/>
      <c r="R19" s="244"/>
      <c r="S19" s="244"/>
    </row>
    <row r="20" s="243" customFormat="1" spans="1:19">
      <c r="A20" s="244"/>
      <c r="B20" s="266"/>
      <c r="C20" s="267"/>
      <c r="D20" s="267"/>
      <c r="E20" s="267"/>
      <c r="F20" s="267"/>
      <c r="G20" s="267"/>
      <c r="H20" s="267"/>
      <c r="I20" s="267"/>
      <c r="J20" s="267"/>
      <c r="K20" s="267"/>
      <c r="L20" s="268"/>
      <c r="M20" s="244"/>
      <c r="N20" s="244"/>
      <c r="O20" s="244"/>
      <c r="P20" s="244"/>
      <c r="Q20" s="244"/>
      <c r="R20" s="244"/>
      <c r="S20" s="244"/>
    </row>
    <row r="21" s="243" customFormat="1" spans="1:19">
      <c r="A21" s="244"/>
      <c r="B21" s="266"/>
      <c r="C21" s="267"/>
      <c r="D21" s="267"/>
      <c r="E21" s="267"/>
      <c r="F21" s="267"/>
      <c r="G21" s="267"/>
      <c r="H21" s="267"/>
      <c r="I21" s="267"/>
      <c r="J21" s="267"/>
      <c r="K21" s="267"/>
      <c r="L21" s="268"/>
      <c r="M21" s="244"/>
      <c r="N21" s="244"/>
      <c r="O21" s="244"/>
      <c r="P21" s="244"/>
      <c r="Q21" s="244"/>
      <c r="R21" s="244"/>
      <c r="S21" s="244"/>
    </row>
    <row r="22" s="243" customFormat="1" spans="1:19">
      <c r="A22" s="244"/>
      <c r="B22" s="266"/>
      <c r="C22" s="267"/>
      <c r="D22" s="267"/>
      <c r="E22" s="267"/>
      <c r="F22" s="267"/>
      <c r="G22" s="267"/>
      <c r="H22" s="267"/>
      <c r="I22" s="267"/>
      <c r="J22" s="267"/>
      <c r="K22" s="267"/>
      <c r="L22" s="268"/>
      <c r="M22" s="244"/>
      <c r="N22" s="244"/>
      <c r="O22" s="244"/>
      <c r="P22" s="244"/>
      <c r="Q22" s="244"/>
      <c r="R22" s="244"/>
      <c r="S22" s="244"/>
    </row>
    <row r="23" s="243" customFormat="1" ht="34" customHeight="1" spans="1:19">
      <c r="A23" s="244"/>
      <c r="B23" s="266"/>
      <c r="C23" s="267"/>
      <c r="D23" s="267"/>
      <c r="E23" s="267"/>
      <c r="F23" s="267"/>
      <c r="G23" s="267"/>
      <c r="H23" s="267"/>
      <c r="I23" s="267"/>
      <c r="J23" s="267"/>
      <c r="K23" s="267"/>
      <c r="L23" s="268"/>
      <c r="M23" s="244"/>
      <c r="N23" s="244"/>
      <c r="O23" s="244"/>
      <c r="P23" s="244"/>
      <c r="Q23" s="244"/>
      <c r="R23" s="244"/>
      <c r="S23" s="244"/>
    </row>
    <row r="24" s="243" customFormat="1" ht="19" customHeight="1" spans="1:19">
      <c r="A24" s="244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9"/>
      <c r="M24" s="244"/>
      <c r="N24" s="244"/>
      <c r="O24" s="244"/>
      <c r="P24" s="244"/>
      <c r="Q24" s="244"/>
      <c r="R24" s="244"/>
      <c r="S24" s="244"/>
    </row>
    <row r="25" s="243" customFormat="1" ht="24" customHeight="1" spans="1:19">
      <c r="A25" s="244"/>
      <c r="B25" s="270"/>
      <c r="C25" s="271"/>
      <c r="D25" s="271"/>
      <c r="E25" s="271"/>
      <c r="F25" s="271"/>
      <c r="G25" s="271"/>
      <c r="H25" s="271"/>
      <c r="I25" s="271"/>
      <c r="J25" s="271"/>
      <c r="K25" s="271"/>
      <c r="L25" s="272"/>
      <c r="M25" s="244"/>
      <c r="N25" s="244"/>
      <c r="O25" s="244"/>
      <c r="P25" s="244"/>
      <c r="Q25" s="244"/>
      <c r="R25" s="244"/>
      <c r="S25" s="244"/>
    </row>
    <row r="26" s="243" customFormat="1" ht="17.25" spans="1:19">
      <c r="A26" s="244"/>
      <c r="B26" s="270"/>
      <c r="C26" s="271"/>
      <c r="D26" s="271"/>
      <c r="E26" s="271"/>
      <c r="F26" s="271"/>
      <c r="G26" s="271"/>
      <c r="H26" s="271"/>
      <c r="I26" s="271"/>
      <c r="J26" s="271"/>
      <c r="K26" s="271"/>
      <c r="L26" s="272"/>
      <c r="M26" s="244"/>
      <c r="N26" s="244"/>
      <c r="O26" s="244"/>
      <c r="P26" s="244"/>
      <c r="Q26" s="244"/>
      <c r="R26" s="244"/>
      <c r="S26" s="244"/>
    </row>
    <row r="27" s="243" customFormat="1" ht="18.75" spans="1:19">
      <c r="A27" s="244"/>
      <c r="B27" s="273" t="s">
        <v>4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44"/>
      <c r="N27" s="244"/>
      <c r="O27" s="244"/>
      <c r="P27" s="244"/>
      <c r="Q27" s="244"/>
      <c r="R27" s="244"/>
      <c r="S27" s="244"/>
    </row>
    <row r="28" s="243" customFormat="1" spans="1:19">
      <c r="A28" s="244"/>
      <c r="B28" s="275" t="s">
        <v>5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7"/>
      <c r="M28" s="244"/>
      <c r="N28" s="244"/>
      <c r="O28" s="244"/>
      <c r="P28" s="244"/>
      <c r="Q28" s="244"/>
      <c r="R28" s="244"/>
      <c r="S28" s="244"/>
    </row>
    <row r="29" s="243" customFormat="1" spans="1:19">
      <c r="A29" s="244"/>
      <c r="B29" s="278"/>
      <c r="C29" s="279"/>
      <c r="D29" s="279"/>
      <c r="E29" s="279"/>
      <c r="F29" s="279"/>
      <c r="G29" s="279"/>
      <c r="H29" s="279"/>
      <c r="I29" s="279"/>
      <c r="J29" s="279"/>
      <c r="K29" s="279"/>
      <c r="L29" s="280"/>
      <c r="M29" s="244"/>
      <c r="N29" s="244"/>
      <c r="O29" s="244"/>
      <c r="P29" s="244"/>
      <c r="Q29" s="244"/>
      <c r="R29" s="244"/>
      <c r="S29" s="244"/>
    </row>
    <row r="30" s="243" customFormat="1" spans="1:19">
      <c r="A30" s="244"/>
      <c r="B30" s="278"/>
      <c r="C30" s="279"/>
      <c r="D30" s="279"/>
      <c r="E30" s="279"/>
      <c r="F30" s="279"/>
      <c r="G30" s="279"/>
      <c r="H30" s="279"/>
      <c r="I30" s="279"/>
      <c r="J30" s="279"/>
      <c r="K30" s="279"/>
      <c r="L30" s="280"/>
      <c r="M30" s="244"/>
      <c r="N30" s="244"/>
      <c r="O30" s="244"/>
      <c r="P30" s="244"/>
      <c r="Q30" s="244"/>
      <c r="R30" s="244"/>
      <c r="S30" s="244"/>
    </row>
    <row r="31" s="243" customFormat="1" spans="1:19">
      <c r="A31" s="244"/>
      <c r="B31" s="278"/>
      <c r="C31" s="279"/>
      <c r="D31" s="279"/>
      <c r="E31" s="279"/>
      <c r="F31" s="279"/>
      <c r="G31" s="279"/>
      <c r="H31" s="279"/>
      <c r="I31" s="279"/>
      <c r="J31" s="279"/>
      <c r="K31" s="279"/>
      <c r="L31" s="280"/>
      <c r="M31" s="244"/>
      <c r="N31" s="244"/>
      <c r="O31" s="244"/>
      <c r="P31" s="244"/>
      <c r="Q31" s="244"/>
      <c r="R31" s="244"/>
      <c r="S31" s="244"/>
    </row>
    <row r="32" s="243" customFormat="1" spans="1:19">
      <c r="A32" s="244"/>
      <c r="B32" s="278"/>
      <c r="C32" s="279"/>
      <c r="D32" s="279"/>
      <c r="E32" s="279"/>
      <c r="F32" s="279"/>
      <c r="G32" s="279"/>
      <c r="H32" s="279"/>
      <c r="I32" s="279"/>
      <c r="J32" s="279"/>
      <c r="K32" s="279"/>
      <c r="L32" s="280"/>
      <c r="M32" s="244"/>
      <c r="N32" s="244"/>
      <c r="O32" s="244"/>
      <c r="P32" s="244"/>
      <c r="Q32" s="244"/>
      <c r="R32" s="244"/>
      <c r="S32" s="244"/>
    </row>
    <row r="33" s="243" customFormat="1" spans="1:19">
      <c r="A33" s="244"/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80"/>
      <c r="M33" s="244"/>
      <c r="N33" s="244"/>
      <c r="O33" s="244"/>
      <c r="P33" s="244"/>
      <c r="Q33" s="244"/>
      <c r="R33" s="244"/>
      <c r="S33" s="244"/>
    </row>
    <row r="34" s="243" customFormat="1" spans="1:19">
      <c r="A34" s="244"/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80"/>
      <c r="M34" s="244"/>
      <c r="N34" s="244"/>
      <c r="O34" s="244"/>
      <c r="P34" s="244"/>
      <c r="Q34" s="244"/>
      <c r="R34" s="244"/>
      <c r="S34" s="244"/>
    </row>
    <row r="35" s="243" customFormat="1" spans="1:19">
      <c r="A35" s="244"/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80"/>
      <c r="M35" s="244"/>
      <c r="N35" s="244"/>
      <c r="O35" s="244"/>
      <c r="P35" s="244"/>
      <c r="Q35" s="244"/>
      <c r="R35" s="244"/>
      <c r="S35" s="244"/>
    </row>
    <row r="36" s="243" customFormat="1" spans="1:19">
      <c r="A36" s="244"/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80"/>
      <c r="M36" s="244"/>
      <c r="N36" s="244"/>
      <c r="O36" s="244"/>
      <c r="P36" s="244"/>
      <c r="Q36" s="244"/>
      <c r="R36" s="244"/>
      <c r="S36" s="244"/>
    </row>
    <row r="37" s="243" customFormat="1" spans="1:19">
      <c r="A37" s="244"/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80"/>
      <c r="M37" s="244"/>
      <c r="N37" s="244"/>
      <c r="O37" s="244"/>
      <c r="P37" s="244"/>
      <c r="Q37" s="244"/>
      <c r="R37" s="244"/>
      <c r="S37" s="244"/>
    </row>
    <row r="38" s="243" customFormat="1" ht="17.25" spans="1:19">
      <c r="A38" s="244"/>
      <c r="B38" s="281"/>
      <c r="C38" s="282"/>
      <c r="D38" s="282"/>
      <c r="E38" s="282"/>
      <c r="F38" s="282"/>
      <c r="G38" s="282"/>
      <c r="H38" s="282"/>
      <c r="I38" s="282"/>
      <c r="J38" s="282"/>
      <c r="K38" s="282"/>
      <c r="L38" s="283"/>
      <c r="M38" s="244"/>
      <c r="N38" s="244"/>
      <c r="O38" s="244"/>
      <c r="P38" s="244"/>
      <c r="Q38" s="244"/>
      <c r="R38" s="244"/>
      <c r="S38" s="244"/>
    </row>
    <row r="39" s="243" customFormat="1" spans="1:19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</row>
    <row r="40" s="243" customFormat="1" spans="1:19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</row>
    <row r="41" s="243" customFormat="1" spans="1:19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</row>
    <row r="42" s="243" customFormat="1" spans="1:19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</row>
    <row r="43" s="243" customFormat="1" spans="1:19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</row>
    <row r="44" s="243" customFormat="1" spans="1:19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</row>
    <row r="45" s="243" customFormat="1" spans="1:19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</row>
    <row r="46" s="243" customFormat="1" spans="1:19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</row>
    <row r="47" s="243" customFormat="1" spans="1:19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</row>
    <row r="48" s="243" customFormat="1" spans="1:19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</row>
    <row r="49" s="243" customFormat="1" spans="1:20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</row>
    <row r="50" s="243" customFormat="1" spans="1:20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</row>
    <row r="51" s="243" customFormat="1" spans="1:20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</row>
    <row r="52" s="243" customFormat="1" spans="1:20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</row>
    <row r="53" s="243" customFormat="1" spans="1:20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</row>
    <row r="54" s="243" customFormat="1" spans="1:20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</row>
    <row r="55" s="243" customFormat="1" spans="1:20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</row>
    <row r="56" s="243" customFormat="1" spans="1:20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</row>
    <row r="57" s="243" customFormat="1" spans="1:20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</row>
    <row r="58" s="243" customFormat="1" spans="1:20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</row>
    <row r="59" s="243" customFormat="1" spans="1:20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</row>
    <row r="60" s="243" customFormat="1" spans="1:20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</row>
    <row r="61" s="243" customFormat="1" spans="1:20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</row>
    <row r="62" s="243" customFormat="1" spans="1:20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</row>
    <row r="63" s="243" customFormat="1" spans="1:20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</row>
    <row r="64" s="243" customFormat="1" spans="1:20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</row>
    <row r="65" s="243" customFormat="1" spans="1:20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</row>
    <row r="66" s="243" customFormat="1" spans="1:20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</row>
    <row r="67" s="243" customFormat="1" spans="1:20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</row>
    <row r="68" s="243" customFormat="1" spans="1:20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</row>
    <row r="69" s="243" customFormat="1" spans="1:20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</row>
    <row r="70" s="243" customFormat="1" spans="1:20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</row>
    <row r="71" s="243" customFormat="1" spans="1:20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</row>
    <row r="72" s="243" customFormat="1" spans="1:20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</row>
    <row r="73" s="243" customFormat="1" spans="1:20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</row>
    <row r="74" spans="1:20"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</row>
    <row r="75" spans="1:20"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1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D111" sqref="D111"/>
    </sheetView>
  </sheetViews>
  <sheetFormatPr defaultColWidth="9.81666666666667" defaultRowHeight="13.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68" customWidth="1"/>
    <col min="5" max="5" width="47.1083333333333" style="169" customWidth="1"/>
    <col min="6" max="6" width="14" style="1" customWidth="1"/>
    <col min="7" max="7" width="16.6666666666667" style="1" customWidth="1"/>
    <col min="8" max="8" width="16.1916666666667" style="4" customWidth="1"/>
    <col min="9" max="10" width="22.625" style="170" customWidth="1"/>
    <col min="11" max="13" width="8" style="1" customWidth="1"/>
    <col min="14" max="17" width="10.625" style="1" customWidth="1"/>
    <col min="18" max="18" width="15.625" style="160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79" width="9.64166666666667" style="1"/>
    <col min="16380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61" customFormat="1" ht="30" customHeight="1" spans="1:24">
      <c r="A2" s="171" t="s">
        <v>7</v>
      </c>
      <c r="B2" s="172" t="s">
        <v>8</v>
      </c>
      <c r="C2" s="172" t="s">
        <v>9</v>
      </c>
      <c r="D2" s="171" t="s">
        <v>10</v>
      </c>
      <c r="E2" s="173" t="s">
        <v>11</v>
      </c>
      <c r="F2" s="172" t="s">
        <v>12</v>
      </c>
      <c r="G2" s="172" t="s">
        <v>13</v>
      </c>
      <c r="H2" s="171" t="s">
        <v>14</v>
      </c>
      <c r="I2" s="172" t="s">
        <v>15</v>
      </c>
      <c r="J2" s="172" t="s">
        <v>16</v>
      </c>
      <c r="K2" s="174" t="s">
        <v>17</v>
      </c>
      <c r="L2" s="174" t="s">
        <v>18</v>
      </c>
      <c r="M2" s="171" t="s">
        <v>19</v>
      </c>
      <c r="N2" s="171" t="s">
        <v>20</v>
      </c>
      <c r="O2" s="171" t="s">
        <v>21</v>
      </c>
      <c r="P2" s="171" t="s">
        <v>22</v>
      </c>
      <c r="Q2" s="171" t="s">
        <v>23</v>
      </c>
      <c r="R2" s="171" t="s">
        <v>24</v>
      </c>
      <c r="S2" s="171" t="s">
        <v>25</v>
      </c>
      <c r="T2" s="171" t="s">
        <v>26</v>
      </c>
      <c r="U2" s="171" t="s">
        <v>27</v>
      </c>
      <c r="V2" s="171" t="s">
        <v>28</v>
      </c>
      <c r="W2" s="171" t="s">
        <v>29</v>
      </c>
      <c r="X2" s="172" t="s">
        <v>30</v>
      </c>
    </row>
    <row r="3" s="161" customFormat="1" ht="30" customHeight="1" spans="1:24">
      <c r="A3" s="175"/>
      <c r="B3" s="176"/>
      <c r="C3" s="176"/>
      <c r="D3" s="175"/>
      <c r="E3" s="177"/>
      <c r="F3" s="176"/>
      <c r="G3" s="176"/>
      <c r="H3" s="175"/>
      <c r="I3" s="178"/>
      <c r="J3" s="178" t="s">
        <v>31</v>
      </c>
      <c r="K3" s="179"/>
      <c r="L3" s="179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6"/>
    </row>
    <row r="4" s="3" customFormat="1" ht="50" customHeight="1" spans="1:24">
      <c r="A4" s="180">
        <v>1</v>
      </c>
      <c r="B4" s="111" t="s">
        <v>32</v>
      </c>
      <c r="C4" s="181" t="str">
        <f>_xlfn.DISPIMG("ID_4803E5F9424443B5967CDA7C33CD5D67",1)</f>
        <v>=DISPIMG("ID_4803E5F9424443B5967CDA7C33CD5D67",1)</v>
      </c>
      <c r="D4" s="46" t="s">
        <v>33</v>
      </c>
      <c r="E4" s="182" t="s">
        <v>34</v>
      </c>
      <c r="F4" s="49">
        <v>906176249</v>
      </c>
      <c r="G4" s="183" t="s">
        <v>35</v>
      </c>
      <c r="H4" s="49" t="s">
        <v>36</v>
      </c>
      <c r="I4" s="112" t="s">
        <v>37</v>
      </c>
      <c r="J4" s="284" t="s">
        <v>38</v>
      </c>
      <c r="K4" s="112">
        <v>157.1</v>
      </c>
      <c r="L4" s="184">
        <v>111.3</v>
      </c>
      <c r="M4" s="184">
        <v>3.1</v>
      </c>
      <c r="N4" s="156">
        <v>320000</v>
      </c>
      <c r="O4" s="156">
        <v>350000</v>
      </c>
      <c r="P4" s="156">
        <v>380000</v>
      </c>
      <c r="Q4" s="156" t="s">
        <v>39</v>
      </c>
      <c r="R4" s="185" t="s">
        <v>39</v>
      </c>
      <c r="S4" s="156" t="s">
        <v>39</v>
      </c>
      <c r="T4" s="185" t="s">
        <v>40</v>
      </c>
      <c r="U4" s="185" t="s">
        <v>41</v>
      </c>
      <c r="V4" s="112" t="s">
        <v>42</v>
      </c>
      <c r="W4" s="49" t="s">
        <v>39</v>
      </c>
      <c r="X4" s="49" t="s">
        <v>43</v>
      </c>
    </row>
    <row r="5" s="3" customFormat="1" ht="50" customHeight="1" spans="1:24">
      <c r="A5" s="186">
        <v>2</v>
      </c>
      <c r="B5" s="187" t="s">
        <v>44</v>
      </c>
      <c r="C5" s="188" t="str">
        <f>_xlfn.DISPIMG("ID_98EF0EE3BD0548999CE698DFD5904591",1)</f>
        <v>=DISPIMG("ID_98EF0EE3BD0548999CE698DFD5904591",1)</v>
      </c>
      <c r="D5" s="40" t="s">
        <v>45</v>
      </c>
      <c r="E5" s="189" t="s">
        <v>46</v>
      </c>
      <c r="F5" s="43">
        <v>25847173020</v>
      </c>
      <c r="G5" s="43" t="s">
        <v>47</v>
      </c>
      <c r="H5" s="43" t="s">
        <v>48</v>
      </c>
      <c r="I5" s="123" t="s">
        <v>49</v>
      </c>
      <c r="J5" s="285" t="s">
        <v>50</v>
      </c>
      <c r="K5" s="123">
        <v>141.8</v>
      </c>
      <c r="L5" s="157">
        <v>57.1</v>
      </c>
      <c r="M5" s="157">
        <v>3.1</v>
      </c>
      <c r="N5" s="190">
        <v>30000</v>
      </c>
      <c r="O5" s="190">
        <v>40000</v>
      </c>
      <c r="P5" s="190">
        <v>50000</v>
      </c>
      <c r="Q5" s="190" t="s">
        <v>39</v>
      </c>
      <c r="R5" s="190" t="s">
        <v>51</v>
      </c>
      <c r="S5" s="190" t="s">
        <v>39</v>
      </c>
      <c r="T5" s="190" t="s">
        <v>52</v>
      </c>
      <c r="U5" s="190" t="s">
        <v>53</v>
      </c>
      <c r="V5" s="123" t="s">
        <v>54</v>
      </c>
      <c r="W5" s="43" t="s">
        <v>55</v>
      </c>
      <c r="X5" s="43" t="s">
        <v>43</v>
      </c>
    </row>
    <row r="6" s="3" customFormat="1" ht="50" customHeight="1" spans="1:24">
      <c r="A6" s="180">
        <v>3</v>
      </c>
      <c r="B6" s="111" t="s">
        <v>56</v>
      </c>
      <c r="C6" s="46" t="str">
        <f>_xlfn.DISPIMG("ID_B284ADA6329E4ED1A300CD8D71344BAD",1)</f>
        <v>=DISPIMG("ID_B284ADA6329E4ED1A300CD8D71344BAD",1)</v>
      </c>
      <c r="D6" s="46" t="s">
        <v>57</v>
      </c>
      <c r="E6" s="182" t="s">
        <v>58</v>
      </c>
      <c r="F6" s="49">
        <v>67514482</v>
      </c>
      <c r="G6" s="183" t="s">
        <v>59</v>
      </c>
      <c r="H6" s="49" t="s">
        <v>60</v>
      </c>
      <c r="I6" s="112" t="s">
        <v>61</v>
      </c>
      <c r="J6" s="112" t="s">
        <v>62</v>
      </c>
      <c r="K6" s="112">
        <v>210</v>
      </c>
      <c r="L6" s="184">
        <v>119.4</v>
      </c>
      <c r="M6" s="184">
        <v>2.2</v>
      </c>
      <c r="N6" s="156">
        <v>48000</v>
      </c>
      <c r="O6" s="156">
        <v>60000</v>
      </c>
      <c r="P6" s="156">
        <v>70000</v>
      </c>
      <c r="Q6" s="156" t="s">
        <v>39</v>
      </c>
      <c r="R6" s="185" t="s">
        <v>39</v>
      </c>
      <c r="S6" s="156" t="s">
        <v>39</v>
      </c>
      <c r="T6" s="185" t="s">
        <v>63</v>
      </c>
      <c r="U6" s="185" t="s">
        <v>64</v>
      </c>
      <c r="V6" s="112" t="s">
        <v>65</v>
      </c>
      <c r="W6" s="49" t="s">
        <v>66</v>
      </c>
      <c r="X6" s="49" t="s">
        <v>43</v>
      </c>
    </row>
    <row r="7" s="162" customFormat="1" ht="25" customHeight="1" spans="1:24">
      <c r="A7" s="191"/>
      <c r="B7" s="191"/>
      <c r="C7" s="191"/>
      <c r="D7" s="191"/>
      <c r="E7" s="191"/>
      <c r="F7" s="191"/>
      <c r="G7" s="191"/>
      <c r="H7" s="191"/>
      <c r="I7" s="192"/>
      <c r="J7" s="192" t="s">
        <v>67</v>
      </c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</row>
    <row r="8" s="3" customFormat="1" ht="50" customHeight="1" spans="1:24">
      <c r="A8" s="193">
        <v>4</v>
      </c>
      <c r="B8" s="194"/>
      <c r="C8" s="188" t="str">
        <f>_xlfn.DISPIMG("ID_8B1A5379A37A4735923A64D5881D8A37",1)</f>
        <v>=DISPIMG("ID_8B1A5379A37A4735923A64D5881D8A37",1)</v>
      </c>
      <c r="D8" s="40" t="s">
        <v>68</v>
      </c>
      <c r="E8" s="189" t="s">
        <v>69</v>
      </c>
      <c r="F8" s="43">
        <v>47175740457</v>
      </c>
      <c r="G8" s="43" t="s">
        <v>70</v>
      </c>
      <c r="H8" s="43" t="s">
        <v>71</v>
      </c>
      <c r="I8" s="123" t="s">
        <v>72</v>
      </c>
      <c r="J8" s="123" t="s">
        <v>73</v>
      </c>
      <c r="K8" s="123">
        <v>2649</v>
      </c>
      <c r="L8" s="157">
        <v>4.9</v>
      </c>
      <c r="M8" s="157">
        <v>0.1</v>
      </c>
      <c r="N8" s="190">
        <v>1800000</v>
      </c>
      <c r="O8" s="190"/>
      <c r="P8" s="190"/>
      <c r="Q8" s="190" t="s">
        <v>74</v>
      </c>
      <c r="R8" s="190" t="s">
        <v>75</v>
      </c>
      <c r="S8" s="190" t="s">
        <v>39</v>
      </c>
      <c r="T8" s="190" t="s">
        <v>76</v>
      </c>
      <c r="U8" s="190" t="s">
        <v>77</v>
      </c>
      <c r="V8" s="123" t="s">
        <v>78</v>
      </c>
      <c r="W8" s="43" t="s">
        <v>79</v>
      </c>
      <c r="X8" s="43" t="s">
        <v>43</v>
      </c>
    </row>
    <row r="9" s="3" customFormat="1" ht="50" customHeight="1" spans="1:24">
      <c r="A9" s="180">
        <v>5</v>
      </c>
      <c r="B9" s="111"/>
      <c r="C9" s="46" t="str">
        <f>_xlfn.DISPIMG("ID_1B287FA49F4D4C84ABAE18518A42102C",1)</f>
        <v>=DISPIMG("ID_1B287FA49F4D4C84ABAE18518A42102C",1)</v>
      </c>
      <c r="D9" s="46" t="s">
        <v>80</v>
      </c>
      <c r="E9" s="182" t="s">
        <v>81</v>
      </c>
      <c r="F9" s="49">
        <v>98930372371</v>
      </c>
      <c r="G9" s="183" t="s">
        <v>82</v>
      </c>
      <c r="H9" s="183" t="s">
        <v>83</v>
      </c>
      <c r="I9" s="112" t="s">
        <v>84</v>
      </c>
      <c r="J9" s="284" t="s">
        <v>85</v>
      </c>
      <c r="K9" s="112">
        <v>33.3</v>
      </c>
      <c r="L9" s="184" t="s">
        <v>39</v>
      </c>
      <c r="M9" s="184" t="s">
        <v>39</v>
      </c>
      <c r="N9" s="156">
        <v>300000</v>
      </c>
      <c r="O9" s="156"/>
      <c r="P9" s="156"/>
      <c r="Q9" s="156" t="s">
        <v>39</v>
      </c>
      <c r="R9" s="185" t="s">
        <v>39</v>
      </c>
      <c r="S9" s="156" t="s">
        <v>39</v>
      </c>
      <c r="T9" s="185" t="s">
        <v>86</v>
      </c>
      <c r="U9" s="185" t="s">
        <v>87</v>
      </c>
      <c r="V9" s="112" t="s">
        <v>88</v>
      </c>
      <c r="W9" s="49" t="s">
        <v>39</v>
      </c>
      <c r="X9" s="49" t="s">
        <v>43</v>
      </c>
    </row>
    <row r="10" s="162" customFormat="1" ht="25" customHeight="1" spans="1:24">
      <c r="A10" s="195"/>
      <c r="B10" s="195"/>
      <c r="C10" s="195"/>
      <c r="D10" s="195"/>
      <c r="E10" s="195"/>
      <c r="F10" s="195"/>
      <c r="G10" s="195"/>
      <c r="H10" s="195"/>
      <c r="I10" s="196"/>
      <c r="J10" s="196" t="s">
        <v>89</v>
      </c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="1" customFormat="1" ht="50" customHeight="1" spans="1:24">
      <c r="A11" s="193">
        <v>6</v>
      </c>
      <c r="B11" s="197" t="s">
        <v>90</v>
      </c>
      <c r="C11" s="40" t="str">
        <f>_xlfn.DISPIMG("ID_F539646182964FF9871866BC7E0215CC",1)</f>
        <v>=DISPIMG("ID_F539646182964FF9871866BC7E0215CC",1)</v>
      </c>
      <c r="D11" s="40" t="s">
        <v>91</v>
      </c>
      <c r="E11" s="189" t="s">
        <v>92</v>
      </c>
      <c r="F11" s="43" t="s">
        <v>93</v>
      </c>
      <c r="G11" s="43" t="s">
        <v>94</v>
      </c>
      <c r="H11" s="43" t="s">
        <v>95</v>
      </c>
      <c r="I11" s="123" t="s">
        <v>96</v>
      </c>
      <c r="J11" s="285" t="s">
        <v>97</v>
      </c>
      <c r="K11" s="123">
        <v>1018.8</v>
      </c>
      <c r="L11" s="157">
        <v>21.8</v>
      </c>
      <c r="M11" s="157">
        <v>0.5</v>
      </c>
      <c r="N11" s="158">
        <v>77000</v>
      </c>
      <c r="O11" s="158">
        <v>100000</v>
      </c>
      <c r="P11" s="158">
        <v>150000</v>
      </c>
      <c r="Q11" s="158" t="s">
        <v>39</v>
      </c>
      <c r="R11" s="190" t="s">
        <v>98</v>
      </c>
      <c r="S11" s="158" t="s">
        <v>39</v>
      </c>
      <c r="T11" s="190" t="s">
        <v>99</v>
      </c>
      <c r="U11" s="190" t="s">
        <v>100</v>
      </c>
      <c r="V11" s="123" t="s">
        <v>101</v>
      </c>
      <c r="W11" s="43"/>
      <c r="X11" s="43" t="s">
        <v>102</v>
      </c>
    </row>
    <row r="12" s="1" customFormat="1" ht="50" customHeight="1" spans="1:24">
      <c r="A12" s="180">
        <v>7</v>
      </c>
      <c r="B12" s="198"/>
      <c r="C12" s="46" t="str">
        <f>_xlfn.DISPIMG("ID_F2465015B1084BD0916D0D4A3FB710D5",1)</f>
        <v>=DISPIMG("ID_F2465015B1084BD0916D0D4A3FB710D5",1)</v>
      </c>
      <c r="D12" s="46" t="s">
        <v>103</v>
      </c>
      <c r="E12" s="199" t="s">
        <v>104</v>
      </c>
      <c r="F12" s="49" t="s">
        <v>105</v>
      </c>
      <c r="G12" s="112" t="s">
        <v>106</v>
      </c>
      <c r="H12" s="49" t="s">
        <v>107</v>
      </c>
      <c r="I12" s="112" t="s">
        <v>108</v>
      </c>
      <c r="J12" s="112" t="s">
        <v>109</v>
      </c>
      <c r="K12" s="112">
        <v>999.6</v>
      </c>
      <c r="L12" s="184">
        <v>336.1</v>
      </c>
      <c r="M12" s="184">
        <v>8.2</v>
      </c>
      <c r="N12" s="185">
        <v>158000</v>
      </c>
      <c r="O12" s="185">
        <v>178000</v>
      </c>
      <c r="P12" s="185">
        <v>188000</v>
      </c>
      <c r="Q12" s="185">
        <v>208000</v>
      </c>
      <c r="R12" s="185" t="s">
        <v>110</v>
      </c>
      <c r="S12" s="185">
        <v>230000</v>
      </c>
      <c r="T12" s="185" t="s">
        <v>111</v>
      </c>
      <c r="U12" s="185" t="s">
        <v>112</v>
      </c>
      <c r="V12" s="112" t="s">
        <v>113</v>
      </c>
      <c r="W12" s="49" t="s">
        <v>114</v>
      </c>
      <c r="X12" s="49" t="s">
        <v>43</v>
      </c>
    </row>
    <row r="13" s="1" customFormat="1" ht="50" customHeight="1" spans="1:24">
      <c r="A13" s="193">
        <v>8</v>
      </c>
      <c r="B13" s="40"/>
      <c r="C13" s="40" t="str">
        <f>_xlfn.DISPIMG("ID_539BCED200DC418DA80390830AE35518",1)</f>
        <v>=DISPIMG("ID_539BCED200DC418DA80390830AE35518",1)</v>
      </c>
      <c r="D13" s="40" t="s">
        <v>115</v>
      </c>
      <c r="E13" s="189" t="s">
        <v>116</v>
      </c>
      <c r="F13" s="43" t="s">
        <v>117</v>
      </c>
      <c r="G13" s="43" t="s">
        <v>106</v>
      </c>
      <c r="H13" s="43" t="s">
        <v>118</v>
      </c>
      <c r="I13" s="123" t="s">
        <v>119</v>
      </c>
      <c r="J13" s="123" t="s">
        <v>120</v>
      </c>
      <c r="K13" s="123">
        <v>561.8</v>
      </c>
      <c r="L13" s="157">
        <v>91.2</v>
      </c>
      <c r="M13" s="157">
        <v>2</v>
      </c>
      <c r="N13" s="158" t="s">
        <v>39</v>
      </c>
      <c r="O13" s="158">
        <v>178000</v>
      </c>
      <c r="P13" s="158">
        <v>188000</v>
      </c>
      <c r="Q13" s="158">
        <v>198000</v>
      </c>
      <c r="R13" s="190" t="s">
        <v>110</v>
      </c>
      <c r="S13" s="158">
        <v>180000</v>
      </c>
      <c r="T13" s="190" t="s">
        <v>121</v>
      </c>
      <c r="U13" s="190" t="s">
        <v>122</v>
      </c>
      <c r="V13" s="123" t="s">
        <v>123</v>
      </c>
      <c r="W13" s="43" t="s">
        <v>124</v>
      </c>
      <c r="X13" s="43" t="s">
        <v>43</v>
      </c>
    </row>
    <row r="14" s="1" customFormat="1" ht="50" customHeight="1" spans="1:24">
      <c r="A14" s="180">
        <v>9</v>
      </c>
      <c r="B14" s="198"/>
      <c r="C14" s="46" t="str">
        <f>_xlfn.DISPIMG("ID_1BC942DF6B584A02B1D768100B32EF70",1)</f>
        <v>=DISPIMG("ID_1BC942DF6B584A02B1D768100B32EF70",1)</v>
      </c>
      <c r="D14" s="46" t="s">
        <v>125</v>
      </c>
      <c r="E14" s="199" t="s">
        <v>126</v>
      </c>
      <c r="F14" s="49" t="s">
        <v>127</v>
      </c>
      <c r="G14" s="112" t="s">
        <v>128</v>
      </c>
      <c r="H14" s="49" t="s">
        <v>129</v>
      </c>
      <c r="I14" s="112" t="s">
        <v>130</v>
      </c>
      <c r="J14" s="112" t="s">
        <v>131</v>
      </c>
      <c r="K14" s="112">
        <v>164.4</v>
      </c>
      <c r="L14" s="184">
        <v>137</v>
      </c>
      <c r="M14" s="184">
        <v>3.5</v>
      </c>
      <c r="N14" s="185" t="s">
        <v>39</v>
      </c>
      <c r="O14" s="185">
        <v>98000</v>
      </c>
      <c r="P14" s="185">
        <v>110000</v>
      </c>
      <c r="Q14" s="185">
        <v>130000</v>
      </c>
      <c r="R14" s="185" t="s">
        <v>110</v>
      </c>
      <c r="S14" s="185" t="s">
        <v>39</v>
      </c>
      <c r="T14" s="185" t="s">
        <v>132</v>
      </c>
      <c r="U14" s="185" t="s">
        <v>133</v>
      </c>
      <c r="V14" s="112" t="s">
        <v>134</v>
      </c>
      <c r="W14" s="49" t="s">
        <v>135</v>
      </c>
      <c r="X14" s="49" t="s">
        <v>43</v>
      </c>
    </row>
    <row r="15" s="1" customFormat="1" ht="50" customHeight="1" spans="1:24">
      <c r="A15" s="193">
        <v>10</v>
      </c>
      <c r="B15" s="40"/>
      <c r="C15" s="40" t="str">
        <f>_xlfn.DISPIMG("ID_318740AF549F4708BB02E02E05CFE37C",1)</f>
        <v>=DISPIMG("ID_318740AF549F4708BB02E02E05CFE37C",1)</v>
      </c>
      <c r="D15" s="40" t="s">
        <v>136</v>
      </c>
      <c r="E15" s="189" t="s">
        <v>137</v>
      </c>
      <c r="F15" s="43" t="s">
        <v>138</v>
      </c>
      <c r="G15" s="43" t="s">
        <v>139</v>
      </c>
      <c r="H15" s="43" t="s">
        <v>140</v>
      </c>
      <c r="I15" s="123" t="s">
        <v>141</v>
      </c>
      <c r="J15" s="123" t="s">
        <v>142</v>
      </c>
      <c r="K15" s="123">
        <v>529.9</v>
      </c>
      <c r="L15" s="157">
        <v>30.1</v>
      </c>
      <c r="M15" s="157">
        <v>1</v>
      </c>
      <c r="N15" s="158" t="s">
        <v>39</v>
      </c>
      <c r="O15" s="158">
        <v>268000</v>
      </c>
      <c r="P15" s="158">
        <v>288000</v>
      </c>
      <c r="Q15" s="158">
        <v>350000</v>
      </c>
      <c r="R15" s="190" t="s">
        <v>143</v>
      </c>
      <c r="S15" s="158">
        <v>268000</v>
      </c>
      <c r="T15" s="190" t="s">
        <v>144</v>
      </c>
      <c r="U15" s="190" t="s">
        <v>145</v>
      </c>
      <c r="V15" s="123" t="s">
        <v>146</v>
      </c>
      <c r="W15" s="43" t="s">
        <v>147</v>
      </c>
      <c r="X15" s="43" t="s">
        <v>43</v>
      </c>
    </row>
    <row r="16" s="1" customFormat="1" ht="50" customHeight="1" spans="1:24">
      <c r="A16" s="180">
        <v>11</v>
      </c>
      <c r="B16" s="198" t="s">
        <v>148</v>
      </c>
      <c r="C16" s="46" t="str">
        <f>_xlfn.DISPIMG("ID_F8D7BBBAAD5242FB8DFC1B347D79FB61",1)</f>
        <v>=DISPIMG("ID_F8D7BBBAAD5242FB8DFC1B347D79FB61",1)</v>
      </c>
      <c r="D16" s="46" t="s">
        <v>149</v>
      </c>
      <c r="E16" s="199" t="s">
        <v>150</v>
      </c>
      <c r="F16" s="49" t="s">
        <v>151</v>
      </c>
      <c r="G16" s="112" t="s">
        <v>152</v>
      </c>
      <c r="H16" s="112" t="s">
        <v>153</v>
      </c>
      <c r="I16" s="112" t="s">
        <v>154</v>
      </c>
      <c r="J16" s="284" t="s">
        <v>155</v>
      </c>
      <c r="K16" s="112">
        <v>114</v>
      </c>
      <c r="L16" s="184">
        <v>20.3</v>
      </c>
      <c r="M16" s="184">
        <v>0.8</v>
      </c>
      <c r="N16" s="185">
        <v>25000</v>
      </c>
      <c r="O16" s="185">
        <v>28000</v>
      </c>
      <c r="P16" s="185">
        <v>40000</v>
      </c>
      <c r="Q16" s="185" t="s">
        <v>39</v>
      </c>
      <c r="R16" s="185" t="s">
        <v>156</v>
      </c>
      <c r="S16" s="185" t="s">
        <v>39</v>
      </c>
      <c r="T16" s="185" t="s">
        <v>157</v>
      </c>
      <c r="U16" s="185" t="s">
        <v>158</v>
      </c>
      <c r="V16" s="112" t="s">
        <v>159</v>
      </c>
      <c r="W16" s="49" t="s">
        <v>160</v>
      </c>
      <c r="X16" s="49" t="s">
        <v>161</v>
      </c>
    </row>
    <row r="17" s="1" customFormat="1" ht="50" customHeight="1" spans="1:24">
      <c r="A17" s="193">
        <v>12</v>
      </c>
      <c r="B17" s="40"/>
      <c r="C17" s="40" t="str">
        <f>_xlfn.DISPIMG("ID_CFC7EBDA34574183B86BA9DB2E6A9DEE",1)</f>
        <v>=DISPIMG("ID_CFC7EBDA34574183B86BA9DB2E6A9DEE",1)</v>
      </c>
      <c r="D17" s="40" t="s">
        <v>162</v>
      </c>
      <c r="E17" s="189" t="s">
        <v>163</v>
      </c>
      <c r="F17" s="43">
        <v>330477638</v>
      </c>
      <c r="G17" s="43" t="s">
        <v>106</v>
      </c>
      <c r="H17" s="43" t="s">
        <v>164</v>
      </c>
      <c r="I17" s="123" t="s">
        <v>165</v>
      </c>
      <c r="J17" s="123" t="s">
        <v>166</v>
      </c>
      <c r="K17" s="123">
        <v>157.6</v>
      </c>
      <c r="L17" s="157">
        <v>248.1</v>
      </c>
      <c r="M17" s="157">
        <v>7.8</v>
      </c>
      <c r="N17" s="158" t="s">
        <v>39</v>
      </c>
      <c r="O17" s="158">
        <v>60000</v>
      </c>
      <c r="P17" s="158">
        <v>60000</v>
      </c>
      <c r="Q17" s="158">
        <v>60000</v>
      </c>
      <c r="R17" s="190" t="s">
        <v>143</v>
      </c>
      <c r="S17" s="158">
        <v>60000</v>
      </c>
      <c r="T17" s="190" t="s">
        <v>167</v>
      </c>
      <c r="U17" s="190" t="s">
        <v>168</v>
      </c>
      <c r="V17" s="123" t="s">
        <v>169</v>
      </c>
      <c r="W17" s="43" t="s">
        <v>170</v>
      </c>
      <c r="X17" s="43" t="s">
        <v>43</v>
      </c>
    </row>
    <row r="18" s="1" customFormat="1" ht="50" customHeight="1" spans="1:24">
      <c r="A18" s="180">
        <v>13</v>
      </c>
      <c r="B18" s="198" t="s">
        <v>171</v>
      </c>
      <c r="C18" s="46" t="str">
        <f>_xlfn.DISPIMG("ID_EEC77C4673CE40A2AA11F908ADC8ABA3",1)</f>
        <v>=DISPIMG("ID_EEC77C4673CE40A2AA11F908ADC8ABA3",1)</v>
      </c>
      <c r="D18" s="46" t="s">
        <v>172</v>
      </c>
      <c r="E18" s="199" t="s">
        <v>173</v>
      </c>
      <c r="F18" s="49" t="s">
        <v>174</v>
      </c>
      <c r="G18" s="112" t="s">
        <v>175</v>
      </c>
      <c r="H18" s="49" t="s">
        <v>176</v>
      </c>
      <c r="I18" s="112" t="s">
        <v>177</v>
      </c>
      <c r="J18" s="112" t="s">
        <v>178</v>
      </c>
      <c r="K18" s="112">
        <v>303</v>
      </c>
      <c r="L18" s="184">
        <v>171.3</v>
      </c>
      <c r="M18" s="184">
        <v>7.6</v>
      </c>
      <c r="N18" s="185">
        <v>35000</v>
      </c>
      <c r="O18" s="185">
        <v>62000</v>
      </c>
      <c r="P18" s="185">
        <v>65000</v>
      </c>
      <c r="Q18" s="185" t="s">
        <v>39</v>
      </c>
      <c r="R18" s="185" t="s">
        <v>39</v>
      </c>
      <c r="S18" s="185" t="s">
        <v>39</v>
      </c>
      <c r="T18" s="185" t="s">
        <v>179</v>
      </c>
      <c r="U18" s="185" t="s">
        <v>180</v>
      </c>
      <c r="V18" s="112" t="s">
        <v>181</v>
      </c>
      <c r="W18" s="49" t="s">
        <v>182</v>
      </c>
      <c r="X18" s="49" t="s">
        <v>183</v>
      </c>
    </row>
    <row r="19" s="163" customFormat="1" ht="50" customHeight="1" spans="1:24">
      <c r="A19" s="186">
        <v>14</v>
      </c>
      <c r="B19" s="187" t="s">
        <v>44</v>
      </c>
      <c r="C19" s="21" t="str">
        <f>_xlfn.DISPIMG("ID_D54C7699201241D3AFE0050FF29CC82A",1)</f>
        <v>=DISPIMG("ID_D54C7699201241D3AFE0050FF29CC82A",1)</v>
      </c>
      <c r="D19" s="21" t="s">
        <v>184</v>
      </c>
      <c r="E19" s="200" t="s">
        <v>185</v>
      </c>
      <c r="F19" s="13" t="s">
        <v>186</v>
      </c>
      <c r="G19" s="17" t="s">
        <v>187</v>
      </c>
      <c r="H19" s="13" t="s">
        <v>188</v>
      </c>
      <c r="I19" s="17" t="s">
        <v>189</v>
      </c>
      <c r="J19" s="17" t="s">
        <v>190</v>
      </c>
      <c r="K19" s="17">
        <v>164.5</v>
      </c>
      <c r="L19" s="27">
        <v>67.5</v>
      </c>
      <c r="M19" s="27">
        <v>1.7</v>
      </c>
      <c r="N19" s="26" t="s">
        <v>39</v>
      </c>
      <c r="O19" s="26">
        <v>60000</v>
      </c>
      <c r="P19" s="26">
        <v>60000</v>
      </c>
      <c r="Q19" s="26">
        <v>75000</v>
      </c>
      <c r="R19" s="26" t="s">
        <v>110</v>
      </c>
      <c r="S19" s="26" t="s">
        <v>39</v>
      </c>
      <c r="T19" s="26" t="s">
        <v>191</v>
      </c>
      <c r="U19" s="26" t="s">
        <v>192</v>
      </c>
      <c r="V19" s="17" t="s">
        <v>193</v>
      </c>
      <c r="W19" s="13" t="s">
        <v>194</v>
      </c>
      <c r="X19" s="13" t="s">
        <v>43</v>
      </c>
    </row>
    <row r="20" s="1" customFormat="1" ht="50" customHeight="1" spans="1:24">
      <c r="A20" s="180">
        <v>15</v>
      </c>
      <c r="B20" s="198"/>
      <c r="C20" s="46" t="str">
        <f>_xlfn.DISPIMG("ID_B1AF27D69EFC45A7AFD3F8470C2DF902",1)</f>
        <v>=DISPIMG("ID_B1AF27D69EFC45A7AFD3F8470C2DF902",1)</v>
      </c>
      <c r="D20" s="46" t="s">
        <v>195</v>
      </c>
      <c r="E20" s="199" t="s">
        <v>196</v>
      </c>
      <c r="F20" s="49" t="s">
        <v>197</v>
      </c>
      <c r="G20" s="112" t="s">
        <v>198</v>
      </c>
      <c r="H20" s="49" t="s">
        <v>199</v>
      </c>
      <c r="I20" s="112" t="s">
        <v>200</v>
      </c>
      <c r="J20" s="284" t="s">
        <v>201</v>
      </c>
      <c r="K20" s="112">
        <v>197.2</v>
      </c>
      <c r="L20" s="184">
        <v>618</v>
      </c>
      <c r="M20" s="184">
        <v>51.5</v>
      </c>
      <c r="N20" s="185">
        <v>20000</v>
      </c>
      <c r="O20" s="185">
        <v>30000</v>
      </c>
      <c r="P20" s="185">
        <v>40000</v>
      </c>
      <c r="Q20" s="185">
        <v>50000</v>
      </c>
      <c r="R20" s="185" t="s">
        <v>143</v>
      </c>
      <c r="S20" s="185" t="s">
        <v>39</v>
      </c>
      <c r="T20" s="185" t="s">
        <v>202</v>
      </c>
      <c r="U20" s="185" t="s">
        <v>203</v>
      </c>
      <c r="V20" s="112" t="s">
        <v>204</v>
      </c>
      <c r="W20" s="49" t="s">
        <v>205</v>
      </c>
      <c r="X20" s="49" t="s">
        <v>43</v>
      </c>
    </row>
    <row r="21" s="163" customFormat="1" ht="50" customHeight="1" spans="1:24">
      <c r="A21" s="186">
        <v>16</v>
      </c>
      <c r="B21" s="187"/>
      <c r="C21" s="24" t="str">
        <f>_xlfn.DISPIMG("ID_9313BA33A13741C3997400D039C6FB0D",1)</f>
        <v>=DISPIMG("ID_9313BA33A13741C3997400D039C6FB0D",1)</v>
      </c>
      <c r="D21" s="21" t="s">
        <v>206</v>
      </c>
      <c r="E21" s="200" t="s">
        <v>207</v>
      </c>
      <c r="F21" s="13" t="s">
        <v>208</v>
      </c>
      <c r="G21" s="17" t="s">
        <v>198</v>
      </c>
      <c r="H21" s="13" t="s">
        <v>209</v>
      </c>
      <c r="I21" s="17" t="s">
        <v>210</v>
      </c>
      <c r="J21" s="286" t="s">
        <v>211</v>
      </c>
      <c r="K21" s="17">
        <v>75.4</v>
      </c>
      <c r="L21" s="27">
        <v>457.5</v>
      </c>
      <c r="M21" s="27">
        <v>16.3</v>
      </c>
      <c r="N21" s="26">
        <v>12000</v>
      </c>
      <c r="O21" s="26">
        <v>20000</v>
      </c>
      <c r="P21" s="26">
        <v>25000</v>
      </c>
      <c r="Q21" s="26">
        <v>35000</v>
      </c>
      <c r="R21" s="26" t="s">
        <v>143</v>
      </c>
      <c r="S21" s="26" t="s">
        <v>39</v>
      </c>
      <c r="T21" s="26" t="s">
        <v>212</v>
      </c>
      <c r="U21" s="26" t="s">
        <v>213</v>
      </c>
      <c r="V21" s="17" t="s">
        <v>214</v>
      </c>
      <c r="W21" s="13" t="s">
        <v>215</v>
      </c>
      <c r="X21" s="13" t="s">
        <v>43</v>
      </c>
    </row>
    <row r="22" s="1" customFormat="1" ht="50" customHeight="1" spans="1:24">
      <c r="A22" s="180">
        <v>17</v>
      </c>
      <c r="B22" s="198"/>
      <c r="C22" s="46" t="str">
        <f>_xlfn.DISPIMG("ID_FEA892292C9F41DC88FCF6A565C5188F",1)</f>
        <v>=DISPIMG("ID_FEA892292C9F41DC88FCF6A565C5188F",1)</v>
      </c>
      <c r="D22" s="46" t="s">
        <v>216</v>
      </c>
      <c r="E22" s="199" t="s">
        <v>217</v>
      </c>
      <c r="F22" s="49" t="s">
        <v>218</v>
      </c>
      <c r="G22" s="112" t="s">
        <v>219</v>
      </c>
      <c r="H22" s="49" t="s">
        <v>220</v>
      </c>
      <c r="I22" s="112" t="s">
        <v>221</v>
      </c>
      <c r="J22" s="112" t="s">
        <v>222</v>
      </c>
      <c r="K22" s="112">
        <v>258.8</v>
      </c>
      <c r="L22" s="184" t="s">
        <v>39</v>
      </c>
      <c r="M22" s="184" t="s">
        <v>39</v>
      </c>
      <c r="N22" s="185">
        <v>26000</v>
      </c>
      <c r="O22" s="185">
        <v>31000</v>
      </c>
      <c r="P22" s="185">
        <v>40000</v>
      </c>
      <c r="Q22" s="185" t="s">
        <v>39</v>
      </c>
      <c r="R22" s="185" t="s">
        <v>110</v>
      </c>
      <c r="S22" s="185">
        <v>29000</v>
      </c>
      <c r="T22" s="185" t="s">
        <v>223</v>
      </c>
      <c r="U22" s="185" t="s">
        <v>224</v>
      </c>
      <c r="V22" s="112" t="s">
        <v>225</v>
      </c>
      <c r="W22" s="49" t="s">
        <v>226</v>
      </c>
      <c r="X22" s="49" t="s">
        <v>43</v>
      </c>
    </row>
    <row r="23" s="164" customFormat="1" ht="25" customHeight="1" spans="1:24">
      <c r="A23" s="136"/>
      <c r="B23" s="136"/>
      <c r="C23" s="136"/>
      <c r="D23" s="136"/>
      <c r="E23" s="136"/>
      <c r="F23" s="136"/>
      <c r="G23" s="136"/>
      <c r="H23" s="136"/>
      <c r="I23" s="201"/>
      <c r="J23" s="201" t="s">
        <v>227</v>
      </c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s="1" customFormat="1" ht="50" customHeight="1" spans="1:24">
      <c r="A24" s="180">
        <v>18</v>
      </c>
      <c r="B24" s="198" t="s">
        <v>228</v>
      </c>
      <c r="C24" s="181" t="str">
        <f>_xlfn.DISPIMG("ID_B5EF5E77D86345B7A9A6A02B63F067DE",1)</f>
        <v>=DISPIMG("ID_B5EF5E77D86345B7A9A6A02B63F067DE",1)</v>
      </c>
      <c r="D24" s="46" t="s">
        <v>229</v>
      </c>
      <c r="E24" s="182" t="s">
        <v>230</v>
      </c>
      <c r="F24" s="49" t="s">
        <v>231</v>
      </c>
      <c r="G24" s="49" t="s">
        <v>232</v>
      </c>
      <c r="H24" s="49" t="s">
        <v>233</v>
      </c>
      <c r="I24" s="112" t="s">
        <v>234</v>
      </c>
      <c r="J24" s="284" t="s">
        <v>235</v>
      </c>
      <c r="K24" s="112">
        <v>181.7</v>
      </c>
      <c r="L24" s="184">
        <v>127.1</v>
      </c>
      <c r="M24" s="184">
        <v>18.5</v>
      </c>
      <c r="N24" s="185">
        <v>160000</v>
      </c>
      <c r="O24" s="185">
        <v>228000</v>
      </c>
      <c r="P24" s="185">
        <v>348000</v>
      </c>
      <c r="Q24" s="185" t="s">
        <v>39</v>
      </c>
      <c r="R24" s="185" t="s">
        <v>39</v>
      </c>
      <c r="S24" s="185" t="s">
        <v>39</v>
      </c>
      <c r="T24" s="185" t="s">
        <v>236</v>
      </c>
      <c r="U24" s="185" t="s">
        <v>237</v>
      </c>
      <c r="V24" s="112" t="s">
        <v>238</v>
      </c>
      <c r="W24" s="49" t="s">
        <v>239</v>
      </c>
      <c r="X24" s="49" t="s">
        <v>43</v>
      </c>
    </row>
    <row r="25" s="164" customFormat="1" ht="25" customHeight="1" spans="1:24">
      <c r="A25" s="202"/>
      <c r="B25" s="202"/>
      <c r="C25" s="202"/>
      <c r="D25" s="202"/>
      <c r="E25" s="202"/>
      <c r="F25" s="202"/>
      <c r="G25" s="202"/>
      <c r="H25" s="202"/>
      <c r="I25" s="203"/>
      <c r="J25" s="203" t="s">
        <v>240</v>
      </c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</row>
    <row r="26" s="1" customFormat="1" ht="50" customHeight="1" spans="1:24">
      <c r="A26" s="193">
        <v>19</v>
      </c>
      <c r="B26" s="187" t="s">
        <v>44</v>
      </c>
      <c r="C26" s="24" t="str">
        <f>_xlfn.DISPIMG("ID_13688EB241364A2B81A7EC2777D4A67C",1)</f>
        <v>=DISPIMG("ID_13688EB241364A2B81A7EC2777D4A67C",1)</v>
      </c>
      <c r="D26" s="40" t="s">
        <v>241</v>
      </c>
      <c r="E26" s="204" t="s">
        <v>242</v>
      </c>
      <c r="F26" s="43" t="s">
        <v>243</v>
      </c>
      <c r="G26" s="43" t="s">
        <v>244</v>
      </c>
      <c r="H26" s="43" t="s">
        <v>245</v>
      </c>
      <c r="I26" s="123" t="s">
        <v>246</v>
      </c>
      <c r="J26" s="123" t="s">
        <v>247</v>
      </c>
      <c r="K26" s="123">
        <v>520.2</v>
      </c>
      <c r="L26" s="157">
        <v>158.7</v>
      </c>
      <c r="M26" s="157">
        <v>14</v>
      </c>
      <c r="N26" s="158">
        <v>63200</v>
      </c>
      <c r="O26" s="158">
        <v>158000</v>
      </c>
      <c r="P26" s="158">
        <v>168000</v>
      </c>
      <c r="Q26" s="158">
        <v>178000</v>
      </c>
      <c r="R26" s="190" t="s">
        <v>248</v>
      </c>
      <c r="S26" s="158">
        <v>158000</v>
      </c>
      <c r="T26" s="190" t="s">
        <v>249</v>
      </c>
      <c r="U26" s="190" t="s">
        <v>250</v>
      </c>
      <c r="V26" s="123" t="s">
        <v>251</v>
      </c>
      <c r="W26" s="43" t="s">
        <v>252</v>
      </c>
      <c r="X26" s="43" t="s">
        <v>43</v>
      </c>
    </row>
    <row r="27" s="1" customFormat="1" ht="50" customHeight="1" spans="1:24">
      <c r="A27" s="180">
        <v>20</v>
      </c>
      <c r="B27" s="205"/>
      <c r="C27" s="181" t="str">
        <f>_xlfn.DISPIMG("ID_25CF9ED5D08F4EC3B8261E1D3DA75E6B",1)</f>
        <v>=DISPIMG("ID_25CF9ED5D08F4EC3B8261E1D3DA75E6B",1)</v>
      </c>
      <c r="D27" s="46" t="s">
        <v>253</v>
      </c>
      <c r="E27" s="199" t="s">
        <v>254</v>
      </c>
      <c r="F27" s="49" t="s">
        <v>255</v>
      </c>
      <c r="G27" s="49" t="s">
        <v>244</v>
      </c>
      <c r="H27" s="49" t="s">
        <v>256</v>
      </c>
      <c r="I27" s="112" t="s">
        <v>257</v>
      </c>
      <c r="J27" s="112" t="s">
        <v>258</v>
      </c>
      <c r="K27" s="112">
        <v>123.9</v>
      </c>
      <c r="L27" s="184">
        <v>162.1</v>
      </c>
      <c r="M27" s="184">
        <v>6.9</v>
      </c>
      <c r="N27" s="185">
        <v>85000</v>
      </c>
      <c r="O27" s="185">
        <v>85000</v>
      </c>
      <c r="P27" s="185">
        <v>95000</v>
      </c>
      <c r="Q27" s="185">
        <v>105000</v>
      </c>
      <c r="R27" s="185" t="s">
        <v>248</v>
      </c>
      <c r="S27" s="185">
        <v>85000</v>
      </c>
      <c r="T27" s="185" t="s">
        <v>259</v>
      </c>
      <c r="U27" s="185" t="s">
        <v>260</v>
      </c>
      <c r="V27" s="112" t="s">
        <v>261</v>
      </c>
      <c r="W27" s="49" t="s">
        <v>262</v>
      </c>
      <c r="X27" s="49" t="s">
        <v>43</v>
      </c>
    </row>
    <row r="28" s="1" customFormat="1" ht="50" customHeight="1" spans="1:24">
      <c r="A28" s="193">
        <v>21</v>
      </c>
      <c r="B28" s="187" t="s">
        <v>148</v>
      </c>
      <c r="C28" s="24" t="str">
        <f>_xlfn.DISPIMG("ID_7C3D7E093E3A4B48A95896E13A102E73",1)</f>
        <v>=DISPIMG("ID_7C3D7E093E3A4B48A95896E13A102E73",1)</v>
      </c>
      <c r="D28" s="40" t="s">
        <v>263</v>
      </c>
      <c r="E28" s="204" t="s">
        <v>264</v>
      </c>
      <c r="F28" s="43" t="s">
        <v>265</v>
      </c>
      <c r="G28" s="43" t="s">
        <v>266</v>
      </c>
      <c r="H28" s="43" t="s">
        <v>267</v>
      </c>
      <c r="I28" s="43" t="s">
        <v>268</v>
      </c>
      <c r="J28" s="285" t="s">
        <v>269</v>
      </c>
      <c r="K28" s="123">
        <v>444.8</v>
      </c>
      <c r="L28" s="157">
        <v>168.5</v>
      </c>
      <c r="M28" s="157">
        <v>68.4</v>
      </c>
      <c r="N28" s="158">
        <v>70000</v>
      </c>
      <c r="O28" s="158">
        <v>158000</v>
      </c>
      <c r="P28" s="158">
        <v>160000</v>
      </c>
      <c r="Q28" s="158" t="s">
        <v>39</v>
      </c>
      <c r="R28" s="190" t="s">
        <v>270</v>
      </c>
      <c r="S28" s="158" t="s">
        <v>39</v>
      </c>
      <c r="T28" s="190" t="s">
        <v>271</v>
      </c>
      <c r="U28" s="190" t="s">
        <v>272</v>
      </c>
      <c r="V28" s="123" t="s">
        <v>273</v>
      </c>
      <c r="W28" s="43" t="s">
        <v>39</v>
      </c>
      <c r="X28" s="43" t="s">
        <v>274</v>
      </c>
    </row>
    <row r="29" s="1" customFormat="1" ht="50" customHeight="1" spans="1:24">
      <c r="A29" s="180">
        <v>22</v>
      </c>
      <c r="B29" s="198" t="s">
        <v>148</v>
      </c>
      <c r="C29" s="46" t="str">
        <f>_xlfn.DISPIMG("ID_C323F5BB57A04391AC291A22669EE708",1)</f>
        <v>=DISPIMG("ID_C323F5BB57A04391AC291A22669EE708",1)</v>
      </c>
      <c r="D29" s="46" t="s">
        <v>275</v>
      </c>
      <c r="E29" s="199" t="s">
        <v>276</v>
      </c>
      <c r="F29" s="49" t="s">
        <v>277</v>
      </c>
      <c r="G29" s="49" t="s">
        <v>278</v>
      </c>
      <c r="H29" s="49" t="s">
        <v>279</v>
      </c>
      <c r="I29" s="49" t="s">
        <v>280</v>
      </c>
      <c r="J29" s="284" t="s">
        <v>281</v>
      </c>
      <c r="K29" s="112">
        <v>92.9</v>
      </c>
      <c r="L29" s="184" t="s">
        <v>39</v>
      </c>
      <c r="M29" s="184" t="s">
        <v>39</v>
      </c>
      <c r="N29" s="185">
        <v>60000</v>
      </c>
      <c r="O29" s="185">
        <v>73000</v>
      </c>
      <c r="P29" s="185">
        <v>75000</v>
      </c>
      <c r="Q29" s="185" t="s">
        <v>39</v>
      </c>
      <c r="R29" s="185" t="s">
        <v>282</v>
      </c>
      <c r="S29" s="185">
        <v>75000</v>
      </c>
      <c r="T29" s="185" t="s">
        <v>283</v>
      </c>
      <c r="U29" s="185" t="s">
        <v>284</v>
      </c>
      <c r="V29" s="112" t="s">
        <v>285</v>
      </c>
      <c r="W29" s="49" t="s">
        <v>39</v>
      </c>
      <c r="X29" s="49" t="s">
        <v>274</v>
      </c>
    </row>
    <row r="30" s="1" customFormat="1" ht="50" customHeight="1" spans="1:24">
      <c r="A30" s="186">
        <v>23</v>
      </c>
      <c r="B30" s="187" t="s">
        <v>148</v>
      </c>
      <c r="C30" s="24" t="str">
        <f>_xlfn.DISPIMG("ID_2FDA320076F14743B85625DCA4F9F685",1)</f>
        <v>=DISPIMG("ID_2FDA320076F14743B85625DCA4F9F685",1)</v>
      </c>
      <c r="D30" s="21" t="s">
        <v>286</v>
      </c>
      <c r="E30" s="200" t="s">
        <v>287</v>
      </c>
      <c r="F30" s="43" t="s">
        <v>288</v>
      </c>
      <c r="G30" s="43" t="s">
        <v>289</v>
      </c>
      <c r="H30" s="43" t="s">
        <v>290</v>
      </c>
      <c r="I30" s="43" t="s">
        <v>291</v>
      </c>
      <c r="J30" s="285" t="s">
        <v>292</v>
      </c>
      <c r="K30" s="123">
        <v>74.6</v>
      </c>
      <c r="L30" s="157">
        <v>93.9</v>
      </c>
      <c r="M30" s="157">
        <v>19.8</v>
      </c>
      <c r="N30" s="158">
        <v>30000</v>
      </c>
      <c r="O30" s="158">
        <v>38000</v>
      </c>
      <c r="P30" s="158">
        <v>40000</v>
      </c>
      <c r="Q30" s="158" t="s">
        <v>39</v>
      </c>
      <c r="R30" s="190" t="s">
        <v>293</v>
      </c>
      <c r="S30" s="158" t="s">
        <v>39</v>
      </c>
      <c r="T30" s="190" t="s">
        <v>294</v>
      </c>
      <c r="U30" s="190" t="s">
        <v>295</v>
      </c>
      <c r="V30" s="123" t="s">
        <v>296</v>
      </c>
      <c r="W30" s="43" t="s">
        <v>39</v>
      </c>
      <c r="X30" s="43" t="s">
        <v>297</v>
      </c>
    </row>
    <row r="31" s="1" customFormat="1" ht="50" customHeight="1" spans="1:24">
      <c r="A31" s="180">
        <v>24</v>
      </c>
      <c r="B31" s="198"/>
      <c r="C31" s="46" t="str">
        <f>_xlfn.DISPIMG("ID_09F1C858463649068DA213FFACF66789",1)</f>
        <v>=DISPIMG("ID_09F1C858463649068DA213FFACF66789",1)</v>
      </c>
      <c r="D31" s="46" t="s">
        <v>298</v>
      </c>
      <c r="E31" s="199" t="s">
        <v>299</v>
      </c>
      <c r="F31" s="49" t="s">
        <v>300</v>
      </c>
      <c r="G31" s="49" t="s">
        <v>301</v>
      </c>
      <c r="H31" s="49" t="s">
        <v>302</v>
      </c>
      <c r="I31" s="49" t="s">
        <v>303</v>
      </c>
      <c r="J31" s="112" t="s">
        <v>304</v>
      </c>
      <c r="K31" s="112">
        <v>166.5</v>
      </c>
      <c r="L31" s="184">
        <v>218.2</v>
      </c>
      <c r="M31" s="184">
        <v>7.7</v>
      </c>
      <c r="N31" s="185">
        <v>32000</v>
      </c>
      <c r="O31" s="185">
        <v>40000</v>
      </c>
      <c r="P31" s="185">
        <v>50000</v>
      </c>
      <c r="Q31" s="185">
        <v>60000</v>
      </c>
      <c r="R31" s="185" t="s">
        <v>248</v>
      </c>
      <c r="S31" s="185">
        <v>40000</v>
      </c>
      <c r="T31" s="185" t="s">
        <v>305</v>
      </c>
      <c r="U31" s="185" t="s">
        <v>306</v>
      </c>
      <c r="V31" s="112" t="s">
        <v>307</v>
      </c>
      <c r="W31" s="49" t="s">
        <v>308</v>
      </c>
      <c r="X31" s="49" t="s">
        <v>43</v>
      </c>
    </row>
    <row r="32" s="1" customFormat="1" ht="50" customHeight="1" spans="1:24">
      <c r="A32" s="186">
        <v>25</v>
      </c>
      <c r="B32" s="187"/>
      <c r="C32" s="24" t="str">
        <f>_xlfn.DISPIMG("ID_4BB75004A5214030A47B0EC4A3C051CB",1)</f>
        <v>=DISPIMG("ID_4BB75004A5214030A47B0EC4A3C051CB",1)</v>
      </c>
      <c r="D32" s="21" t="s">
        <v>309</v>
      </c>
      <c r="E32" s="200" t="s">
        <v>310</v>
      </c>
      <c r="F32" s="43" t="s">
        <v>311</v>
      </c>
      <c r="G32" s="43" t="s">
        <v>301</v>
      </c>
      <c r="H32" s="43" t="s">
        <v>312</v>
      </c>
      <c r="I32" s="43" t="s">
        <v>313</v>
      </c>
      <c r="J32" s="123" t="s">
        <v>314</v>
      </c>
      <c r="K32" s="123">
        <v>125.5</v>
      </c>
      <c r="L32" s="157">
        <v>561.6</v>
      </c>
      <c r="M32" s="157">
        <v>11.5</v>
      </c>
      <c r="N32" s="158">
        <v>25000</v>
      </c>
      <c r="O32" s="158">
        <v>40000</v>
      </c>
      <c r="P32" s="158">
        <v>50000</v>
      </c>
      <c r="Q32" s="158">
        <v>60000</v>
      </c>
      <c r="R32" s="190" t="s">
        <v>248</v>
      </c>
      <c r="S32" s="158">
        <v>40000</v>
      </c>
      <c r="T32" s="190" t="s">
        <v>315</v>
      </c>
      <c r="U32" s="190" t="s">
        <v>316</v>
      </c>
      <c r="V32" s="123" t="s">
        <v>317</v>
      </c>
      <c r="W32" s="43" t="s">
        <v>318</v>
      </c>
      <c r="X32" s="43" t="s">
        <v>43</v>
      </c>
    </row>
    <row r="33" s="1" customFormat="1" ht="50" customHeight="1" spans="1:24">
      <c r="A33" s="180">
        <v>26</v>
      </c>
      <c r="B33" s="198"/>
      <c r="C33" s="46" t="str">
        <f>_xlfn.DISPIMG("ID_91F2DC5D52E6496E824FA789F20CE7C3",1)</f>
        <v>=DISPIMG("ID_91F2DC5D52E6496E824FA789F20CE7C3",1)</v>
      </c>
      <c r="D33" s="46" t="s">
        <v>319</v>
      </c>
      <c r="E33" s="199" t="s">
        <v>320</v>
      </c>
      <c r="F33" s="49">
        <v>5466225</v>
      </c>
      <c r="G33" s="49" t="s">
        <v>321</v>
      </c>
      <c r="H33" s="49" t="s">
        <v>322</v>
      </c>
      <c r="I33" s="49" t="s">
        <v>323</v>
      </c>
      <c r="J33" s="112" t="s">
        <v>324</v>
      </c>
      <c r="K33" s="112">
        <v>58.8</v>
      </c>
      <c r="L33" s="184">
        <v>653.7</v>
      </c>
      <c r="M33" s="184">
        <v>22.1</v>
      </c>
      <c r="N33" s="185">
        <v>20000</v>
      </c>
      <c r="O33" s="185">
        <v>30000</v>
      </c>
      <c r="P33" s="185">
        <v>40000</v>
      </c>
      <c r="Q33" s="185">
        <v>50000</v>
      </c>
      <c r="R33" s="185" t="s">
        <v>325</v>
      </c>
      <c r="S33" s="185" t="s">
        <v>39</v>
      </c>
      <c r="T33" s="185" t="s">
        <v>326</v>
      </c>
      <c r="U33" s="185" t="s">
        <v>327</v>
      </c>
      <c r="V33" s="112" t="s">
        <v>328</v>
      </c>
      <c r="W33" s="49" t="s">
        <v>329</v>
      </c>
      <c r="X33" s="49" t="s">
        <v>43</v>
      </c>
    </row>
    <row r="34" s="1" customFormat="1" ht="50" customHeight="1" spans="1:24">
      <c r="A34" s="186">
        <v>27</v>
      </c>
      <c r="B34" s="187"/>
      <c r="C34" s="24" t="str">
        <f>_xlfn.DISPIMG("ID_1D344B6954DA404A99AA33F1FE741BC1",1)</f>
        <v>=DISPIMG("ID_1D344B6954DA404A99AA33F1FE741BC1",1)</v>
      </c>
      <c r="D34" s="21" t="s">
        <v>330</v>
      </c>
      <c r="E34" s="200" t="s">
        <v>331</v>
      </c>
      <c r="F34" s="43" t="s">
        <v>332</v>
      </c>
      <c r="G34" s="43" t="s">
        <v>289</v>
      </c>
      <c r="H34" s="43" t="s">
        <v>333</v>
      </c>
      <c r="I34" s="43" t="s">
        <v>334</v>
      </c>
      <c r="J34" s="285" t="s">
        <v>335</v>
      </c>
      <c r="K34" s="123">
        <v>73.1</v>
      </c>
      <c r="L34" s="157">
        <v>445</v>
      </c>
      <c r="M34" s="157">
        <v>5</v>
      </c>
      <c r="N34" s="158">
        <v>15000</v>
      </c>
      <c r="O34" s="158">
        <v>19000</v>
      </c>
      <c r="P34" s="158">
        <v>23000</v>
      </c>
      <c r="Q34" s="158">
        <v>33000</v>
      </c>
      <c r="R34" s="190" t="s">
        <v>336</v>
      </c>
      <c r="S34" s="158" t="s">
        <v>39</v>
      </c>
      <c r="T34" s="190" t="s">
        <v>337</v>
      </c>
      <c r="U34" s="190" t="s">
        <v>338</v>
      </c>
      <c r="V34" s="123" t="s">
        <v>339</v>
      </c>
      <c r="W34" s="43" t="s">
        <v>39</v>
      </c>
      <c r="X34" s="43" t="s">
        <v>43</v>
      </c>
    </row>
    <row r="35" s="1" customFormat="1" ht="50" customHeight="1" spans="1:24">
      <c r="A35" s="180">
        <v>28</v>
      </c>
      <c r="B35" s="198"/>
      <c r="C35" s="46" t="str">
        <f>_xlfn.DISPIMG("ID_421C6605411A40B4BE082C7CB3D2A79E",1)</f>
        <v>=DISPIMG("ID_421C6605411A40B4BE082C7CB3D2A79E",1)</v>
      </c>
      <c r="D35" s="46" t="s">
        <v>340</v>
      </c>
      <c r="E35" s="199" t="s">
        <v>341</v>
      </c>
      <c r="F35" s="49" t="s">
        <v>342</v>
      </c>
      <c r="G35" s="49" t="s">
        <v>289</v>
      </c>
      <c r="H35" s="49" t="s">
        <v>343</v>
      </c>
      <c r="I35" s="49" t="s">
        <v>344</v>
      </c>
      <c r="J35" s="284" t="s">
        <v>345</v>
      </c>
      <c r="K35" s="112">
        <v>103.4</v>
      </c>
      <c r="L35" s="184">
        <v>436.5</v>
      </c>
      <c r="M35" s="184">
        <v>62.9</v>
      </c>
      <c r="N35" s="185">
        <v>20000</v>
      </c>
      <c r="O35" s="185">
        <v>30000</v>
      </c>
      <c r="P35" s="185">
        <v>40000</v>
      </c>
      <c r="Q35" s="185">
        <v>50000</v>
      </c>
      <c r="R35" s="185" t="s">
        <v>248</v>
      </c>
      <c r="S35" s="185" t="s">
        <v>39</v>
      </c>
      <c r="T35" s="185" t="s">
        <v>346</v>
      </c>
      <c r="U35" s="185" t="s">
        <v>347</v>
      </c>
      <c r="V35" s="112" t="s">
        <v>348</v>
      </c>
      <c r="W35" s="49" t="s">
        <v>39</v>
      </c>
      <c r="X35" s="49" t="s">
        <v>43</v>
      </c>
    </row>
    <row r="36" s="1" customFormat="1" ht="50" customHeight="1" spans="1:24">
      <c r="A36" s="186">
        <v>29</v>
      </c>
      <c r="B36" s="187"/>
      <c r="C36" s="24" t="str">
        <f>_xlfn.DISPIMG("ID_1AD7FD21BEB54C18981E40DA34D8D2E3",1)</f>
        <v>=DISPIMG("ID_1AD7FD21BEB54C18981E40DA34D8D2E3",1)</v>
      </c>
      <c r="D36" s="21" t="s">
        <v>349</v>
      </c>
      <c r="E36" s="200" t="s">
        <v>350</v>
      </c>
      <c r="F36" s="43" t="s">
        <v>351</v>
      </c>
      <c r="G36" s="43" t="s">
        <v>321</v>
      </c>
      <c r="H36" s="43" t="s">
        <v>352</v>
      </c>
      <c r="I36" s="43" t="s">
        <v>353</v>
      </c>
      <c r="J36" s="123" t="s">
        <v>354</v>
      </c>
      <c r="K36" s="123">
        <v>17.6</v>
      </c>
      <c r="L36" s="157">
        <v>87.4</v>
      </c>
      <c r="M36" s="157">
        <v>5.4</v>
      </c>
      <c r="N36" s="158">
        <v>10000</v>
      </c>
      <c r="O36" s="158">
        <v>18000</v>
      </c>
      <c r="P36" s="158">
        <v>20000</v>
      </c>
      <c r="Q36" s="158">
        <v>30000</v>
      </c>
      <c r="R36" s="190" t="s">
        <v>336</v>
      </c>
      <c r="S36" s="158" t="s">
        <v>39</v>
      </c>
      <c r="T36" s="190" t="s">
        <v>355</v>
      </c>
      <c r="U36" s="190" t="s">
        <v>356</v>
      </c>
      <c r="V36" s="123" t="s">
        <v>357</v>
      </c>
      <c r="W36" s="43" t="s">
        <v>358</v>
      </c>
      <c r="X36" s="43" t="s">
        <v>43</v>
      </c>
    </row>
    <row r="37" s="165" customFormat="1" ht="25" customHeight="1" spans="1:24">
      <c r="A37" s="206"/>
      <c r="B37" s="206"/>
      <c r="C37" s="206"/>
      <c r="D37" s="206"/>
      <c r="E37" s="206"/>
      <c r="F37" s="206"/>
      <c r="G37" s="206"/>
      <c r="H37" s="206"/>
      <c r="I37" s="207"/>
      <c r="J37" s="207" t="s">
        <v>359</v>
      </c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</row>
    <row r="38" s="1" customFormat="1" ht="50" customHeight="1" spans="1:24">
      <c r="A38" s="180">
        <v>30</v>
      </c>
      <c r="B38" s="198"/>
      <c r="C38" s="46" t="str">
        <f>_xlfn.DISPIMG("ID_A1A5D79D24784993A8D9B3F666EA6192",1)</f>
        <v>=DISPIMG("ID_A1A5D79D24784993A8D9B3F666EA6192",1)</v>
      </c>
      <c r="D38" s="46" t="s">
        <v>360</v>
      </c>
      <c r="E38" s="182" t="s">
        <v>361</v>
      </c>
      <c r="F38" s="49">
        <v>37893373</v>
      </c>
      <c r="G38" s="49" t="s">
        <v>362</v>
      </c>
      <c r="H38" s="112" t="s">
        <v>363</v>
      </c>
      <c r="I38" s="112" t="s">
        <v>364</v>
      </c>
      <c r="J38" s="284" t="s">
        <v>365</v>
      </c>
      <c r="K38" s="112">
        <v>338.5</v>
      </c>
      <c r="L38" s="184">
        <v>183.2</v>
      </c>
      <c r="M38" s="208">
        <v>5.4</v>
      </c>
      <c r="N38" s="185">
        <v>48000</v>
      </c>
      <c r="O38" s="185">
        <v>70000</v>
      </c>
      <c r="P38" s="185">
        <v>90000</v>
      </c>
      <c r="Q38" s="185" t="s">
        <v>39</v>
      </c>
      <c r="R38" s="185" t="s">
        <v>366</v>
      </c>
      <c r="S38" s="185" t="s">
        <v>39</v>
      </c>
      <c r="T38" s="185" t="s">
        <v>367</v>
      </c>
      <c r="U38" s="185" t="s">
        <v>368</v>
      </c>
      <c r="V38" s="112" t="s">
        <v>369</v>
      </c>
      <c r="W38" s="49" t="s">
        <v>39</v>
      </c>
      <c r="X38" s="49" t="s">
        <v>370</v>
      </c>
    </row>
    <row r="39" s="1" customFormat="1" ht="50" customHeight="1" spans="1:24">
      <c r="A39" s="193">
        <v>31</v>
      </c>
      <c r="B39" s="209"/>
      <c r="C39" s="188" t="str">
        <f>_xlfn.DISPIMG("ID_2C935C190FE24B4C8D67824FAA1EEA29",1)</f>
        <v>=DISPIMG("ID_2C935C190FE24B4C8D67824FAA1EEA29",1)</v>
      </c>
      <c r="D39" s="40" t="s">
        <v>371</v>
      </c>
      <c r="E39" s="204" t="s">
        <v>372</v>
      </c>
      <c r="F39" s="43" t="s">
        <v>373</v>
      </c>
      <c r="G39" s="210" t="s">
        <v>362</v>
      </c>
      <c r="H39" s="43" t="s">
        <v>374</v>
      </c>
      <c r="I39" s="123" t="s">
        <v>375</v>
      </c>
      <c r="J39" s="123" t="s">
        <v>376</v>
      </c>
      <c r="K39" s="123">
        <v>195.9</v>
      </c>
      <c r="L39" s="157">
        <v>266.8</v>
      </c>
      <c r="M39" s="157">
        <v>10.7</v>
      </c>
      <c r="N39" s="190">
        <v>35000</v>
      </c>
      <c r="O39" s="190">
        <v>45000</v>
      </c>
      <c r="P39" s="190">
        <v>50000</v>
      </c>
      <c r="Q39" s="190" t="s">
        <v>39</v>
      </c>
      <c r="R39" s="190" t="s">
        <v>110</v>
      </c>
      <c r="S39" s="190" t="s">
        <v>39</v>
      </c>
      <c r="T39" s="190" t="s">
        <v>377</v>
      </c>
      <c r="U39" s="190" t="s">
        <v>378</v>
      </c>
      <c r="V39" s="190" t="s">
        <v>379</v>
      </c>
      <c r="W39" s="43" t="s">
        <v>380</v>
      </c>
      <c r="X39" s="43" t="s">
        <v>43</v>
      </c>
    </row>
    <row r="40" s="1" customFormat="1" ht="50" customHeight="1" spans="1:24">
      <c r="A40" s="180">
        <v>32</v>
      </c>
      <c r="B40" s="211"/>
      <c r="C40" s="181" t="str">
        <f>_xlfn.DISPIMG("ID_7542F921225141E8913F0A8FFA70BFFC",1)</f>
        <v>=DISPIMG("ID_7542F921225141E8913F0A8FFA70BFFC",1)</v>
      </c>
      <c r="D40" s="46" t="s">
        <v>381</v>
      </c>
      <c r="E40" s="182" t="s">
        <v>382</v>
      </c>
      <c r="F40" s="49" t="s">
        <v>383</v>
      </c>
      <c r="G40" s="49" t="s">
        <v>384</v>
      </c>
      <c r="H40" s="49" t="s">
        <v>385</v>
      </c>
      <c r="I40" s="112" t="s">
        <v>386</v>
      </c>
      <c r="J40" s="112" t="s">
        <v>387</v>
      </c>
      <c r="K40" s="112">
        <v>44</v>
      </c>
      <c r="L40" s="184">
        <v>246.9</v>
      </c>
      <c r="M40" s="208">
        <v>3.7</v>
      </c>
      <c r="N40" s="185">
        <v>65000</v>
      </c>
      <c r="O40" s="185">
        <v>75000</v>
      </c>
      <c r="P40" s="185">
        <v>90000</v>
      </c>
      <c r="Q40" s="185">
        <v>100000</v>
      </c>
      <c r="R40" s="185" t="s">
        <v>39</v>
      </c>
      <c r="S40" s="185" t="s">
        <v>39</v>
      </c>
      <c r="T40" s="185" t="s">
        <v>388</v>
      </c>
      <c r="U40" s="185" t="s">
        <v>389</v>
      </c>
      <c r="V40" s="112" t="s">
        <v>390</v>
      </c>
      <c r="W40" s="49" t="s">
        <v>391</v>
      </c>
      <c r="X40" s="49" t="s">
        <v>43</v>
      </c>
    </row>
    <row r="41" s="1" customFormat="1" ht="50" customHeight="1" spans="1:24">
      <c r="A41" s="193">
        <v>33</v>
      </c>
      <c r="B41" s="209"/>
      <c r="C41" s="188" t="str">
        <f>_xlfn.DISPIMG("ID_3AEE1533498C42C682BDD6B9C65794AD",1)</f>
        <v>=DISPIMG("ID_3AEE1533498C42C682BDD6B9C65794AD",1)</v>
      </c>
      <c r="D41" s="40" t="s">
        <v>392</v>
      </c>
      <c r="E41" s="204" t="s">
        <v>393</v>
      </c>
      <c r="F41" s="43">
        <v>790814775</v>
      </c>
      <c r="G41" s="43" t="s">
        <v>394</v>
      </c>
      <c r="H41" s="43" t="s">
        <v>395</v>
      </c>
      <c r="I41" s="123" t="s">
        <v>396</v>
      </c>
      <c r="J41" s="123" t="s">
        <v>397</v>
      </c>
      <c r="K41" s="123">
        <v>150.4</v>
      </c>
      <c r="L41" s="157">
        <v>143.5</v>
      </c>
      <c r="M41" s="157">
        <v>1.3</v>
      </c>
      <c r="N41" s="26">
        <v>22000</v>
      </c>
      <c r="O41" s="26">
        <v>25000</v>
      </c>
      <c r="P41" s="26">
        <v>28000</v>
      </c>
      <c r="Q41" s="26">
        <v>35000</v>
      </c>
      <c r="R41" s="26" t="s">
        <v>110</v>
      </c>
      <c r="S41" s="26" t="s">
        <v>39</v>
      </c>
      <c r="T41" s="190" t="s">
        <v>398</v>
      </c>
      <c r="U41" s="190" t="s">
        <v>399</v>
      </c>
      <c r="V41" s="123" t="s">
        <v>400</v>
      </c>
      <c r="W41" s="43" t="s">
        <v>401</v>
      </c>
      <c r="X41" s="43" t="s">
        <v>402</v>
      </c>
    </row>
    <row r="42" s="1" customFormat="1" ht="50" customHeight="1" spans="1:24">
      <c r="A42" s="180">
        <v>34</v>
      </c>
      <c r="B42" s="205"/>
      <c r="C42" s="205" t="str">
        <f>_xlfn.DISPIMG("ID_8E3E2032426E4183A7DA49809D180E59",1)</f>
        <v>=DISPIMG("ID_8E3E2032426E4183A7DA49809D180E59",1)</v>
      </c>
      <c r="D42" s="46" t="s">
        <v>403</v>
      </c>
      <c r="E42" s="199" t="s">
        <v>404</v>
      </c>
      <c r="F42" s="49" t="s">
        <v>405</v>
      </c>
      <c r="G42" s="49" t="s">
        <v>394</v>
      </c>
      <c r="H42" s="49" t="s">
        <v>406</v>
      </c>
      <c r="I42" s="112" t="s">
        <v>407</v>
      </c>
      <c r="J42" s="112" t="s">
        <v>408</v>
      </c>
      <c r="K42" s="112">
        <v>52.1</v>
      </c>
      <c r="L42" s="184">
        <v>204.1</v>
      </c>
      <c r="M42" s="184">
        <v>4.1</v>
      </c>
      <c r="N42" s="185">
        <v>8000</v>
      </c>
      <c r="O42" s="185">
        <v>12000</v>
      </c>
      <c r="P42" s="185">
        <v>15000</v>
      </c>
      <c r="Q42" s="185">
        <v>25000</v>
      </c>
      <c r="R42" s="185" t="s">
        <v>110</v>
      </c>
      <c r="S42" s="185" t="s">
        <v>39</v>
      </c>
      <c r="T42" s="185" t="s">
        <v>409</v>
      </c>
      <c r="U42" s="185" t="s">
        <v>410</v>
      </c>
      <c r="V42" s="112" t="s">
        <v>411</v>
      </c>
      <c r="W42" s="49" t="s">
        <v>412</v>
      </c>
      <c r="X42" s="49" t="s">
        <v>413</v>
      </c>
    </row>
    <row r="43" s="1" customFormat="1" ht="50" customHeight="1" spans="1:24">
      <c r="A43" s="193">
        <v>35</v>
      </c>
      <c r="B43" s="209"/>
      <c r="C43" s="188" t="str">
        <f>_xlfn.DISPIMG("ID_A72D91D1F8AA4E5DB1D578D1F96213F5",1)</f>
        <v>=DISPIMG("ID_A72D91D1F8AA4E5DB1D578D1F96213F5",1)</v>
      </c>
      <c r="D43" s="40" t="s">
        <v>414</v>
      </c>
      <c r="E43" s="189" t="s">
        <v>415</v>
      </c>
      <c r="F43" s="43" t="s">
        <v>416</v>
      </c>
      <c r="G43" s="43" t="s">
        <v>417</v>
      </c>
      <c r="H43" s="43" t="s">
        <v>418</v>
      </c>
      <c r="I43" s="123" t="s">
        <v>419</v>
      </c>
      <c r="J43" s="123" t="s">
        <v>420</v>
      </c>
      <c r="K43" s="123">
        <v>25.9</v>
      </c>
      <c r="L43" s="157">
        <v>44.1</v>
      </c>
      <c r="M43" s="157">
        <v>0.9</v>
      </c>
      <c r="N43" s="190">
        <v>22000</v>
      </c>
      <c r="O43" s="190">
        <v>25000</v>
      </c>
      <c r="P43" s="190">
        <v>28000</v>
      </c>
      <c r="Q43" s="190">
        <v>35000</v>
      </c>
      <c r="R43" s="190" t="s">
        <v>110</v>
      </c>
      <c r="S43" s="190" t="s">
        <v>39</v>
      </c>
      <c r="T43" s="190" t="s">
        <v>421</v>
      </c>
      <c r="U43" s="190" t="s">
        <v>422</v>
      </c>
      <c r="V43" s="123" t="s">
        <v>423</v>
      </c>
      <c r="W43" s="43" t="s">
        <v>424</v>
      </c>
      <c r="X43" s="43" t="s">
        <v>413</v>
      </c>
    </row>
    <row r="44" s="1" customFormat="1" ht="50" customHeight="1" spans="1:24">
      <c r="A44" s="180">
        <v>36</v>
      </c>
      <c r="B44" s="198" t="s">
        <v>148</v>
      </c>
      <c r="C44" s="46" t="str">
        <f>_xlfn.DISPIMG("ID_32FCB513C4484BA09259FA7A453BEE58",1)</f>
        <v>=DISPIMG("ID_32FCB513C4484BA09259FA7A453BEE58",1)</v>
      </c>
      <c r="D44" s="46" t="s">
        <v>425</v>
      </c>
      <c r="E44" s="199" t="s">
        <v>426</v>
      </c>
      <c r="F44" s="49">
        <v>27201743838</v>
      </c>
      <c r="G44" s="49" t="s">
        <v>427</v>
      </c>
      <c r="H44" s="112" t="s">
        <v>428</v>
      </c>
      <c r="I44" s="112" t="s">
        <v>429</v>
      </c>
      <c r="J44" s="284" t="s">
        <v>430</v>
      </c>
      <c r="K44" s="112">
        <v>8.3</v>
      </c>
      <c r="L44" s="184" t="s">
        <v>39</v>
      </c>
      <c r="M44" s="184" t="s">
        <v>39</v>
      </c>
      <c r="N44" s="185">
        <v>10000</v>
      </c>
      <c r="O44" s="185">
        <v>15000</v>
      </c>
      <c r="P44" s="185">
        <v>20000</v>
      </c>
      <c r="Q44" s="185" t="s">
        <v>39</v>
      </c>
      <c r="R44" s="185" t="s">
        <v>431</v>
      </c>
      <c r="S44" s="185" t="s">
        <v>39</v>
      </c>
      <c r="T44" s="185" t="s">
        <v>432</v>
      </c>
      <c r="U44" s="185" t="s">
        <v>433</v>
      </c>
      <c r="V44" s="112" t="s">
        <v>39</v>
      </c>
      <c r="W44" s="49" t="s">
        <v>39</v>
      </c>
      <c r="X44" s="49" t="s">
        <v>434</v>
      </c>
    </row>
    <row r="45" s="1" customFormat="1" ht="25" customHeight="1" spans="1:24">
      <c r="A45" s="212"/>
      <c r="B45" s="212"/>
      <c r="C45" s="212"/>
      <c r="D45" s="212"/>
      <c r="E45" s="212"/>
      <c r="F45" s="212"/>
      <c r="G45" s="212"/>
      <c r="H45" s="212"/>
      <c r="I45" s="213"/>
      <c r="J45" s="213" t="s">
        <v>435</v>
      </c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</row>
    <row r="46" s="1" customFormat="1" ht="50" customHeight="1" spans="1:24">
      <c r="A46" s="193">
        <v>37</v>
      </c>
      <c r="B46" s="214"/>
      <c r="C46" s="188" t="str">
        <f>_xlfn.DISPIMG("ID_58CB13A978C944FEAE326BEF7E8454C2",1)</f>
        <v>=DISPIMG("ID_58CB13A978C944FEAE326BEF7E8454C2",1)</v>
      </c>
      <c r="D46" s="40" t="s">
        <v>436</v>
      </c>
      <c r="E46" s="189" t="s">
        <v>437</v>
      </c>
      <c r="F46" s="43">
        <v>25081778</v>
      </c>
      <c r="G46" s="43" t="s">
        <v>438</v>
      </c>
      <c r="H46" s="43" t="s">
        <v>439</v>
      </c>
      <c r="I46" s="123" t="s">
        <v>440</v>
      </c>
      <c r="J46" s="123" t="s">
        <v>441</v>
      </c>
      <c r="K46" s="123">
        <v>343.1</v>
      </c>
      <c r="L46" s="157">
        <v>51.3</v>
      </c>
      <c r="M46" s="157">
        <v>1.6</v>
      </c>
      <c r="N46" s="190" t="s">
        <v>39</v>
      </c>
      <c r="O46" s="190">
        <v>88000</v>
      </c>
      <c r="P46" s="190">
        <v>88000</v>
      </c>
      <c r="Q46" s="190">
        <v>98000</v>
      </c>
      <c r="R46" s="190" t="s">
        <v>110</v>
      </c>
      <c r="S46" s="190" t="s">
        <v>39</v>
      </c>
      <c r="T46" s="190" t="s">
        <v>442</v>
      </c>
      <c r="U46" s="190" t="s">
        <v>443</v>
      </c>
      <c r="V46" s="123" t="s">
        <v>444</v>
      </c>
      <c r="W46" s="43" t="s">
        <v>445</v>
      </c>
      <c r="X46" s="43" t="s">
        <v>43</v>
      </c>
    </row>
    <row r="47" s="1" customFormat="1" ht="50" customHeight="1" spans="1:24">
      <c r="A47" s="180">
        <v>38</v>
      </c>
      <c r="B47" s="211"/>
      <c r="C47" s="181" t="str">
        <f>_xlfn.DISPIMG("ID_8BCE00600B2C4CC8B5E75810E8F2F99B",1)</f>
        <v>=DISPIMG("ID_8BCE00600B2C4CC8B5E75810E8F2F99B",1)</v>
      </c>
      <c r="D47" s="46" t="s">
        <v>446</v>
      </c>
      <c r="E47" s="182" t="s">
        <v>447</v>
      </c>
      <c r="F47" s="49" t="s">
        <v>448</v>
      </c>
      <c r="G47" s="112" t="s">
        <v>449</v>
      </c>
      <c r="H47" s="49" t="s">
        <v>450</v>
      </c>
      <c r="I47" s="112" t="s">
        <v>451</v>
      </c>
      <c r="J47" s="112" t="s">
        <v>452</v>
      </c>
      <c r="K47" s="112">
        <v>624.8</v>
      </c>
      <c r="L47" s="184">
        <v>51.3</v>
      </c>
      <c r="M47" s="184">
        <v>1</v>
      </c>
      <c r="N47" s="185">
        <v>77000</v>
      </c>
      <c r="O47" s="185">
        <v>88000</v>
      </c>
      <c r="P47" s="185">
        <v>99000</v>
      </c>
      <c r="Q47" s="185">
        <v>110000</v>
      </c>
      <c r="R47" s="185" t="s">
        <v>110</v>
      </c>
      <c r="S47" s="185" t="s">
        <v>39</v>
      </c>
      <c r="T47" s="185" t="s">
        <v>453</v>
      </c>
      <c r="U47" s="185" t="s">
        <v>454</v>
      </c>
      <c r="V47" s="112" t="s">
        <v>455</v>
      </c>
      <c r="W47" s="49" t="s">
        <v>456</v>
      </c>
      <c r="X47" s="49" t="s">
        <v>43</v>
      </c>
    </row>
    <row r="48" s="1" customFormat="1" ht="50" customHeight="1" spans="1:24">
      <c r="A48" s="193">
        <v>39</v>
      </c>
      <c r="B48" s="214"/>
      <c r="C48" s="24" t="str">
        <f>_xlfn.DISPIMG("ID_C8BADE3D4A3546AB8BBD2F2D95EF573B",1)</f>
        <v>=DISPIMG("ID_C8BADE3D4A3546AB8BBD2F2D95EF573B",1)</v>
      </c>
      <c r="D48" s="40" t="s">
        <v>457</v>
      </c>
      <c r="E48" s="189" t="s">
        <v>458</v>
      </c>
      <c r="F48" s="43" t="s">
        <v>459</v>
      </c>
      <c r="G48" s="43" t="s">
        <v>460</v>
      </c>
      <c r="H48" s="43" t="s">
        <v>461</v>
      </c>
      <c r="I48" s="123" t="s">
        <v>462</v>
      </c>
      <c r="J48" s="285" t="s">
        <v>463</v>
      </c>
      <c r="K48" s="123">
        <v>113.8</v>
      </c>
      <c r="L48" s="157">
        <v>15.5</v>
      </c>
      <c r="M48" s="157">
        <v>0.2</v>
      </c>
      <c r="N48" s="190">
        <v>20000</v>
      </c>
      <c r="O48" s="190">
        <v>30000</v>
      </c>
      <c r="P48" s="190">
        <v>40000</v>
      </c>
      <c r="Q48" s="190" t="s">
        <v>39</v>
      </c>
      <c r="R48" s="190" t="s">
        <v>464</v>
      </c>
      <c r="S48" s="190" t="s">
        <v>39</v>
      </c>
      <c r="T48" s="190" t="s">
        <v>465</v>
      </c>
      <c r="U48" s="190" t="s">
        <v>466</v>
      </c>
      <c r="V48" s="123" t="s">
        <v>467</v>
      </c>
      <c r="W48" s="43" t="s">
        <v>468</v>
      </c>
      <c r="X48" s="43" t="s">
        <v>183</v>
      </c>
    </row>
    <row r="49" s="1" customFormat="1" ht="50" customHeight="1" spans="1:24">
      <c r="A49" s="180">
        <v>40</v>
      </c>
      <c r="B49" s="46"/>
      <c r="C49" s="181" t="str">
        <f>_xlfn.DISPIMG("ID_4D2DF88B0E1B48C4960BD88ED302D742",1)</f>
        <v>=DISPIMG("ID_4D2DF88B0E1B48C4960BD88ED302D742",1)</v>
      </c>
      <c r="D49" s="46" t="s">
        <v>469</v>
      </c>
      <c r="E49" s="182" t="s">
        <v>470</v>
      </c>
      <c r="F49" s="49">
        <v>87874775918</v>
      </c>
      <c r="G49" s="112" t="s">
        <v>471</v>
      </c>
      <c r="H49" s="49" t="s">
        <v>472</v>
      </c>
      <c r="I49" s="112" t="s">
        <v>473</v>
      </c>
      <c r="J49" s="112" t="s">
        <v>474</v>
      </c>
      <c r="K49" s="112">
        <v>50.8</v>
      </c>
      <c r="L49" s="184">
        <v>53.2</v>
      </c>
      <c r="M49" s="184">
        <v>1.9</v>
      </c>
      <c r="N49" s="185">
        <v>32000</v>
      </c>
      <c r="O49" s="185">
        <v>80000</v>
      </c>
      <c r="P49" s="185">
        <v>85000</v>
      </c>
      <c r="Q49" s="185">
        <v>95000</v>
      </c>
      <c r="R49" s="185" t="s">
        <v>110</v>
      </c>
      <c r="S49" s="185" t="s">
        <v>39</v>
      </c>
      <c r="T49" s="185" t="s">
        <v>475</v>
      </c>
      <c r="U49" s="185" t="s">
        <v>476</v>
      </c>
      <c r="V49" s="112" t="s">
        <v>477</v>
      </c>
      <c r="W49" s="49" t="s">
        <v>478</v>
      </c>
      <c r="X49" s="49" t="s">
        <v>43</v>
      </c>
    </row>
    <row r="50" s="1" customFormat="1" ht="50" customHeight="1" spans="1:24">
      <c r="A50" s="193">
        <v>41</v>
      </c>
      <c r="B50" s="214"/>
      <c r="C50" s="188" t="str">
        <f>_xlfn.DISPIMG("ID_DED44950FB3F4536AFD79051CF630AE4",1)</f>
        <v>=DISPIMG("ID_DED44950FB3F4536AFD79051CF630AE4",1)</v>
      </c>
      <c r="D50" s="40" t="s">
        <v>479</v>
      </c>
      <c r="E50" s="189" t="s">
        <v>480</v>
      </c>
      <c r="F50" s="43" t="s">
        <v>481</v>
      </c>
      <c r="G50" s="43" t="s">
        <v>482</v>
      </c>
      <c r="H50" s="43" t="s">
        <v>483</v>
      </c>
      <c r="I50" s="123" t="s">
        <v>484</v>
      </c>
      <c r="J50" s="285" t="s">
        <v>485</v>
      </c>
      <c r="K50" s="123">
        <v>7.5</v>
      </c>
      <c r="L50" s="157" t="s">
        <v>39</v>
      </c>
      <c r="M50" s="157">
        <v>46.2</v>
      </c>
      <c r="N50" s="190">
        <v>15000</v>
      </c>
      <c r="O50" s="190">
        <v>30000</v>
      </c>
      <c r="P50" s="190">
        <v>35000</v>
      </c>
      <c r="Q50" s="190" t="s">
        <v>39</v>
      </c>
      <c r="R50" s="190" t="s">
        <v>486</v>
      </c>
      <c r="S50" s="190" t="s">
        <v>39</v>
      </c>
      <c r="T50" s="190" t="s">
        <v>487</v>
      </c>
      <c r="U50" s="190" t="s">
        <v>488</v>
      </c>
      <c r="V50" s="123" t="s">
        <v>39</v>
      </c>
      <c r="W50" s="43" t="s">
        <v>489</v>
      </c>
      <c r="X50" s="43" t="s">
        <v>413</v>
      </c>
    </row>
    <row r="51" s="1" customFormat="1" ht="50" customHeight="1" spans="1:24">
      <c r="A51" s="180">
        <v>42</v>
      </c>
      <c r="B51" s="211"/>
      <c r="C51" s="181" t="str">
        <f>_xlfn.DISPIMG("ID_5C96A558D2814A1081C1D1C7C29F22F8",1)</f>
        <v>=DISPIMG("ID_5C96A558D2814A1081C1D1C7C29F22F8",1)</v>
      </c>
      <c r="D51" s="46" t="s">
        <v>490</v>
      </c>
      <c r="E51" s="182" t="s">
        <v>491</v>
      </c>
      <c r="F51" s="49" t="s">
        <v>492</v>
      </c>
      <c r="G51" s="112" t="s">
        <v>493</v>
      </c>
      <c r="H51" s="49" t="s">
        <v>494</v>
      </c>
      <c r="I51" s="112" t="s">
        <v>495</v>
      </c>
      <c r="J51" s="112" t="s">
        <v>496</v>
      </c>
      <c r="K51" s="112">
        <v>130.5</v>
      </c>
      <c r="L51" s="184">
        <v>154.8</v>
      </c>
      <c r="M51" s="184">
        <v>9.2</v>
      </c>
      <c r="N51" s="185">
        <v>22000</v>
      </c>
      <c r="O51" s="185">
        <v>22000</v>
      </c>
      <c r="P51" s="185">
        <v>32500</v>
      </c>
      <c r="Q51" s="185">
        <v>42500</v>
      </c>
      <c r="R51" s="185" t="s">
        <v>110</v>
      </c>
      <c r="S51" s="185">
        <v>22000</v>
      </c>
      <c r="T51" s="185" t="s">
        <v>497</v>
      </c>
      <c r="U51" s="185" t="s">
        <v>498</v>
      </c>
      <c r="V51" s="112" t="s">
        <v>499</v>
      </c>
      <c r="W51" s="49" t="s">
        <v>500</v>
      </c>
      <c r="X51" s="49" t="s">
        <v>43</v>
      </c>
    </row>
    <row r="52" s="166" customFormat="1" ht="25" customHeight="1" spans="1:24">
      <c r="A52" s="127"/>
      <c r="B52" s="127"/>
      <c r="C52" s="127"/>
      <c r="D52" s="127"/>
      <c r="E52" s="127"/>
      <c r="F52" s="127"/>
      <c r="G52" s="127"/>
      <c r="H52" s="127"/>
      <c r="I52" s="215"/>
      <c r="J52" s="215" t="s">
        <v>501</v>
      </c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</row>
    <row r="53" s="1" customFormat="1" ht="50" customHeight="1" spans="1:24">
      <c r="A53" s="193">
        <v>43</v>
      </c>
      <c r="B53" s="214"/>
      <c r="C53" t="str">
        <f>_xlfn.DISPIMG("ID_B92A8BE17A1142A1A6DD0525CD4E59B4",1)</f>
        <v>=DISPIMG("ID_B92A8BE17A1142A1A6DD0525CD4E59B4",1)</v>
      </c>
      <c r="D53" s="21" t="s">
        <v>502</v>
      </c>
      <c r="E53" s="204" t="s">
        <v>503</v>
      </c>
      <c r="F53" s="43">
        <v>1184715895</v>
      </c>
      <c r="G53" s="43" t="s">
        <v>504</v>
      </c>
      <c r="H53" s="43" t="s">
        <v>505</v>
      </c>
      <c r="I53" s="123" t="s">
        <v>506</v>
      </c>
      <c r="J53" s="123" t="s">
        <v>507</v>
      </c>
      <c r="K53" s="123">
        <v>501.5</v>
      </c>
      <c r="L53" s="157">
        <v>21.2</v>
      </c>
      <c r="M53" s="157">
        <v>1.9</v>
      </c>
      <c r="N53" s="190">
        <v>78000</v>
      </c>
      <c r="O53" s="190">
        <v>88000</v>
      </c>
      <c r="P53" s="190">
        <v>101000</v>
      </c>
      <c r="Q53" s="190">
        <v>105000</v>
      </c>
      <c r="R53" s="190" t="s">
        <v>110</v>
      </c>
      <c r="S53" s="190" t="s">
        <v>508</v>
      </c>
      <c r="T53" s="190" t="s">
        <v>509</v>
      </c>
      <c r="U53" s="190" t="s">
        <v>510</v>
      </c>
      <c r="V53" s="123" t="s">
        <v>511</v>
      </c>
      <c r="W53" s="43" t="s">
        <v>512</v>
      </c>
      <c r="X53" s="43" t="s">
        <v>43</v>
      </c>
    </row>
    <row r="54" s="1" customFormat="1" ht="50" customHeight="1" spans="1:24">
      <c r="A54" s="180">
        <v>44</v>
      </c>
      <c r="B54" s="198" t="s">
        <v>44</v>
      </c>
      <c r="C54" s="181" t="str">
        <f>_xlfn.DISPIMG("ID_DE278334E28B49CCB87A3206F1ECC926",1)</f>
        <v>=DISPIMG("ID_DE278334E28B49CCB87A3206F1ECC926",1)</v>
      </c>
      <c r="D54" s="46" t="s">
        <v>513</v>
      </c>
      <c r="E54" s="182" t="s">
        <v>514</v>
      </c>
      <c r="F54" s="49" t="s">
        <v>515</v>
      </c>
      <c r="G54" s="49" t="s">
        <v>516</v>
      </c>
      <c r="H54" s="49" t="s">
        <v>517</v>
      </c>
      <c r="I54" s="112" t="s">
        <v>518</v>
      </c>
      <c r="J54" s="112" t="s">
        <v>519</v>
      </c>
      <c r="K54" s="112">
        <v>421.7</v>
      </c>
      <c r="L54" s="184">
        <v>43.4</v>
      </c>
      <c r="M54" s="184">
        <v>0.3</v>
      </c>
      <c r="N54" s="185">
        <v>50000</v>
      </c>
      <c r="O54" s="185">
        <v>60000</v>
      </c>
      <c r="P54" s="185">
        <v>70000</v>
      </c>
      <c r="Q54" s="185">
        <v>80000</v>
      </c>
      <c r="R54" s="185" t="s">
        <v>110</v>
      </c>
      <c r="S54" s="185" t="s">
        <v>39</v>
      </c>
      <c r="T54" s="185" t="s">
        <v>520</v>
      </c>
      <c r="U54" s="185" t="s">
        <v>521</v>
      </c>
      <c r="V54" s="112" t="s">
        <v>522</v>
      </c>
      <c r="W54" s="49" t="s">
        <v>523</v>
      </c>
      <c r="X54" s="49" t="s">
        <v>524</v>
      </c>
    </row>
    <row r="55" s="1" customFormat="1" ht="50" customHeight="1" spans="1:24">
      <c r="A55" s="193">
        <v>45</v>
      </c>
      <c r="B55" s="214"/>
      <c r="C55" s="24" t="str">
        <f>_xlfn.DISPIMG("ID_84E09DBA04F449429C52A0F8BBF9511A",1)</f>
        <v>=DISPIMG("ID_84E09DBA04F449429C52A0F8BBF9511A",1)</v>
      </c>
      <c r="D55" s="21" t="s">
        <v>525</v>
      </c>
      <c r="E55" s="204" t="s">
        <v>526</v>
      </c>
      <c r="F55" s="43">
        <v>25728100</v>
      </c>
      <c r="G55" s="43" t="s">
        <v>516</v>
      </c>
      <c r="H55" s="43" t="s">
        <v>527</v>
      </c>
      <c r="I55" s="123" t="s">
        <v>528</v>
      </c>
      <c r="J55" s="123" t="s">
        <v>529</v>
      </c>
      <c r="K55" s="123">
        <v>166.8</v>
      </c>
      <c r="L55" s="157">
        <v>145.9</v>
      </c>
      <c r="M55" s="157">
        <v>6.2</v>
      </c>
      <c r="N55" s="190">
        <v>35000</v>
      </c>
      <c r="O55" s="190">
        <v>40000</v>
      </c>
      <c r="P55" s="190">
        <v>42000</v>
      </c>
      <c r="Q55" s="190">
        <v>52000</v>
      </c>
      <c r="R55" s="190" t="s">
        <v>110</v>
      </c>
      <c r="S55" s="190">
        <v>30000</v>
      </c>
      <c r="T55" s="190" t="s">
        <v>530</v>
      </c>
      <c r="U55" s="190" t="s">
        <v>531</v>
      </c>
      <c r="V55" s="123" t="s">
        <v>532</v>
      </c>
      <c r="W55" s="43" t="s">
        <v>533</v>
      </c>
      <c r="X55" s="43" t="s">
        <v>413</v>
      </c>
    </row>
    <row r="56" s="1" customFormat="1" ht="50" customHeight="1" spans="1:24">
      <c r="A56" s="180">
        <v>46</v>
      </c>
      <c r="B56" s="198"/>
      <c r="C56" s="181" t="str">
        <f>_xlfn.DISPIMG("ID_983AF3551FD142A28B6EF5D37FE90C59",1)</f>
        <v>=DISPIMG("ID_983AF3551FD142A28B6EF5D37FE90C59",1)</v>
      </c>
      <c r="D56" s="46" t="s">
        <v>534</v>
      </c>
      <c r="E56" s="182" t="s">
        <v>535</v>
      </c>
      <c r="F56" s="49">
        <v>6739527</v>
      </c>
      <c r="G56" s="49" t="s">
        <v>536</v>
      </c>
      <c r="H56" s="49" t="s">
        <v>537</v>
      </c>
      <c r="I56" s="112" t="s">
        <v>538</v>
      </c>
      <c r="J56" s="112" t="s">
        <v>539</v>
      </c>
      <c r="K56" s="112">
        <v>295</v>
      </c>
      <c r="L56" s="184">
        <v>77.9</v>
      </c>
      <c r="M56" s="184">
        <v>2.6</v>
      </c>
      <c r="N56" s="185">
        <v>58000</v>
      </c>
      <c r="O56" s="185">
        <v>68000</v>
      </c>
      <c r="P56" s="185">
        <v>78000</v>
      </c>
      <c r="Q56" s="185" t="s">
        <v>39</v>
      </c>
      <c r="R56" s="185" t="s">
        <v>110</v>
      </c>
      <c r="S56" s="185" t="s">
        <v>39</v>
      </c>
      <c r="T56" s="185" t="s">
        <v>540</v>
      </c>
      <c r="U56" s="185" t="s">
        <v>541</v>
      </c>
      <c r="V56" s="112" t="s">
        <v>542</v>
      </c>
      <c r="W56" s="49" t="s">
        <v>543</v>
      </c>
      <c r="X56" s="49" t="s">
        <v>43</v>
      </c>
    </row>
    <row r="57" s="1" customFormat="1" ht="50" customHeight="1" spans="1:24">
      <c r="A57" s="193">
        <v>47</v>
      </c>
      <c r="B57" s="187" t="s">
        <v>44</v>
      </c>
      <c r="C57" s="24" t="str">
        <f>_xlfn.DISPIMG("ID_ACC5A9162EF34D1C82966AE35BC5288E",1)</f>
        <v>=DISPIMG("ID_ACC5A9162EF34D1C82966AE35BC5288E",1)</v>
      </c>
      <c r="D57" s="21" t="s">
        <v>544</v>
      </c>
      <c r="E57" s="204" t="s">
        <v>545</v>
      </c>
      <c r="F57" s="43" t="s">
        <v>546</v>
      </c>
      <c r="G57" s="43" t="s">
        <v>547</v>
      </c>
      <c r="H57" s="43" t="s">
        <v>548</v>
      </c>
      <c r="I57" s="123" t="s">
        <v>549</v>
      </c>
      <c r="J57" s="123" t="s">
        <v>550</v>
      </c>
      <c r="K57" s="123">
        <v>53.7</v>
      </c>
      <c r="L57" s="157">
        <v>224.2</v>
      </c>
      <c r="M57" s="157">
        <v>7.3</v>
      </c>
      <c r="N57" s="190">
        <v>20000</v>
      </c>
      <c r="O57" s="190">
        <v>28000</v>
      </c>
      <c r="P57" s="190">
        <v>30000</v>
      </c>
      <c r="Q57" s="190">
        <v>40000</v>
      </c>
      <c r="R57" s="190" t="s">
        <v>110</v>
      </c>
      <c r="S57" s="190">
        <v>28000</v>
      </c>
      <c r="T57" s="190" t="s">
        <v>551</v>
      </c>
      <c r="U57" s="190" t="s">
        <v>552</v>
      </c>
      <c r="V57" s="123" t="s">
        <v>553</v>
      </c>
      <c r="W57" s="43" t="s">
        <v>554</v>
      </c>
      <c r="X57" s="43" t="s">
        <v>43</v>
      </c>
    </row>
    <row r="58" s="1" customFormat="1" ht="50" customHeight="1" spans="1:24">
      <c r="A58" s="180">
        <v>48</v>
      </c>
      <c r="B58" s="198"/>
      <c r="C58" s="181" t="str">
        <f>_xlfn.DISPIMG("ID_5A2303BEB2E64EB79F2228CF37EA448D",1)</f>
        <v>=DISPIMG("ID_5A2303BEB2E64EB79F2228CF37EA448D",1)</v>
      </c>
      <c r="D58" s="46" t="s">
        <v>555</v>
      </c>
      <c r="E58" s="182" t="s">
        <v>556</v>
      </c>
      <c r="F58" s="49" t="s">
        <v>557</v>
      </c>
      <c r="G58" s="49" t="s">
        <v>516</v>
      </c>
      <c r="H58" s="49" t="s">
        <v>558</v>
      </c>
      <c r="I58" s="112" t="s">
        <v>559</v>
      </c>
      <c r="J58" s="112" t="s">
        <v>560</v>
      </c>
      <c r="K58" s="112">
        <v>397.5</v>
      </c>
      <c r="L58" s="184">
        <v>257.1</v>
      </c>
      <c r="M58" s="184">
        <v>3.1</v>
      </c>
      <c r="N58" s="185">
        <v>32000</v>
      </c>
      <c r="O58" s="185">
        <v>49000</v>
      </c>
      <c r="P58" s="185">
        <v>75000</v>
      </c>
      <c r="Q58" s="185">
        <v>85000</v>
      </c>
      <c r="R58" s="185" t="s">
        <v>110</v>
      </c>
      <c r="S58" s="185" t="s">
        <v>39</v>
      </c>
      <c r="T58" s="185" t="s">
        <v>561</v>
      </c>
      <c r="U58" s="185" t="s">
        <v>562</v>
      </c>
      <c r="V58" s="112" t="s">
        <v>563</v>
      </c>
      <c r="W58" s="49" t="s">
        <v>564</v>
      </c>
      <c r="X58" s="49" t="s">
        <v>413</v>
      </c>
    </row>
    <row r="59" s="1" customFormat="1" ht="50" customHeight="1" spans="1:24">
      <c r="A59" s="193">
        <v>49</v>
      </c>
      <c r="B59" s="214"/>
      <c r="C59" s="24" t="str">
        <f>_xlfn.DISPIMG("ID_A06A04E18C8443698F5C8FFB59C2D25A",1)</f>
        <v>=DISPIMG("ID_A06A04E18C8443698F5C8FFB59C2D25A",1)</v>
      </c>
      <c r="D59" s="21" t="s">
        <v>565</v>
      </c>
      <c r="E59" s="204" t="s">
        <v>566</v>
      </c>
      <c r="F59" s="43" t="s">
        <v>567</v>
      </c>
      <c r="G59" s="43" t="s">
        <v>516</v>
      </c>
      <c r="H59" s="43" t="s">
        <v>568</v>
      </c>
      <c r="I59" s="123" t="s">
        <v>569</v>
      </c>
      <c r="J59" s="123" t="s">
        <v>570</v>
      </c>
      <c r="K59" s="123">
        <v>332.4</v>
      </c>
      <c r="L59" s="157">
        <v>158.1</v>
      </c>
      <c r="M59" s="157">
        <v>1.3</v>
      </c>
      <c r="N59" s="190">
        <v>25000</v>
      </c>
      <c r="O59" s="190">
        <v>28000</v>
      </c>
      <c r="P59" s="190">
        <v>38000</v>
      </c>
      <c r="Q59" s="190">
        <v>48000</v>
      </c>
      <c r="R59" s="190" t="s">
        <v>110</v>
      </c>
      <c r="S59" s="190" t="s">
        <v>39</v>
      </c>
      <c r="T59" s="190" t="s">
        <v>571</v>
      </c>
      <c r="U59" s="190" t="s">
        <v>572</v>
      </c>
      <c r="V59" s="123" t="s">
        <v>573</v>
      </c>
      <c r="W59" s="43" t="s">
        <v>574</v>
      </c>
      <c r="X59" s="43" t="s">
        <v>575</v>
      </c>
    </row>
    <row r="60" s="1" customFormat="1" ht="50" customHeight="1" spans="1:24">
      <c r="A60" s="180">
        <v>50</v>
      </c>
      <c r="B60" s="198"/>
      <c r="C60" s="181" t="str">
        <f>_xlfn.DISPIMG("ID_AEEC780DC1CA46EAAD088BBC47F54980",1)</f>
        <v>=DISPIMG("ID_AEEC780DC1CA46EAAD088BBC47F54980",1)</v>
      </c>
      <c r="D60" s="46" t="s">
        <v>576</v>
      </c>
      <c r="E60" s="182" t="s">
        <v>577</v>
      </c>
      <c r="F60" s="49" t="s">
        <v>578</v>
      </c>
      <c r="G60" s="49" t="s">
        <v>516</v>
      </c>
      <c r="H60" s="49" t="s">
        <v>579</v>
      </c>
      <c r="I60" s="112" t="s">
        <v>580</v>
      </c>
      <c r="J60" s="284" t="s">
        <v>581</v>
      </c>
      <c r="K60" s="112">
        <v>208.9</v>
      </c>
      <c r="L60" s="184">
        <v>185.1</v>
      </c>
      <c r="M60" s="184">
        <v>2.7</v>
      </c>
      <c r="N60" s="185">
        <v>40000</v>
      </c>
      <c r="O60" s="185">
        <v>45000</v>
      </c>
      <c r="P60" s="185">
        <v>65000</v>
      </c>
      <c r="Q60" s="185" t="s">
        <v>39</v>
      </c>
      <c r="R60" s="185" t="s">
        <v>39</v>
      </c>
      <c r="S60" s="185" t="s">
        <v>39</v>
      </c>
      <c r="T60" s="185" t="s">
        <v>249</v>
      </c>
      <c r="U60" s="185" t="s">
        <v>582</v>
      </c>
      <c r="V60" s="112" t="s">
        <v>583</v>
      </c>
      <c r="W60" s="49" t="s">
        <v>584</v>
      </c>
      <c r="X60" s="49" t="s">
        <v>413</v>
      </c>
    </row>
    <row r="61" s="1" customFormat="1" ht="50" customHeight="1" spans="1:24">
      <c r="A61" s="193">
        <v>51</v>
      </c>
      <c r="B61" s="214"/>
      <c r="C61" s="24" t="str">
        <f>_xlfn.DISPIMG("ID_70F1F0FFC48B4E6CBAAB57AAD6082D8C",1)</f>
        <v>=DISPIMG("ID_70F1F0FFC48B4E6CBAAB57AAD6082D8C",1)</v>
      </c>
      <c r="D61" s="21" t="s">
        <v>585</v>
      </c>
      <c r="E61" s="204" t="s">
        <v>586</v>
      </c>
      <c r="F61" s="43" t="s">
        <v>587</v>
      </c>
      <c r="G61" s="43" t="s">
        <v>516</v>
      </c>
      <c r="H61" s="43" t="s">
        <v>588</v>
      </c>
      <c r="I61" s="123" t="s">
        <v>589</v>
      </c>
      <c r="J61" s="285" t="s">
        <v>590</v>
      </c>
      <c r="K61" s="123">
        <v>153.4</v>
      </c>
      <c r="L61" s="157">
        <v>190.9</v>
      </c>
      <c r="M61" s="157">
        <v>2.4</v>
      </c>
      <c r="N61" s="190">
        <v>38000</v>
      </c>
      <c r="O61" s="190">
        <v>38000</v>
      </c>
      <c r="P61" s="190">
        <v>48000</v>
      </c>
      <c r="Q61" s="190">
        <v>58000</v>
      </c>
      <c r="R61" s="190" t="s">
        <v>591</v>
      </c>
      <c r="S61" s="190">
        <v>38000</v>
      </c>
      <c r="T61" s="190" t="s">
        <v>592</v>
      </c>
      <c r="U61" s="190" t="s">
        <v>593</v>
      </c>
      <c r="V61" s="123" t="s">
        <v>594</v>
      </c>
      <c r="W61" s="43" t="s">
        <v>595</v>
      </c>
      <c r="X61" s="43" t="s">
        <v>43</v>
      </c>
    </row>
    <row r="62" s="1" customFormat="1" ht="50" customHeight="1" spans="1:24">
      <c r="A62" s="180">
        <v>52</v>
      </c>
      <c r="B62" s="198"/>
      <c r="C62" s="181" t="str">
        <f>_xlfn.DISPIMG("ID_792E1E57CCA94F6DA3311C7643148082",1)</f>
        <v>=DISPIMG("ID_792E1E57CCA94F6DA3311C7643148082",1)</v>
      </c>
      <c r="D62" s="46" t="s">
        <v>596</v>
      </c>
      <c r="E62" s="182" t="s">
        <v>597</v>
      </c>
      <c r="F62" s="49" t="s">
        <v>598</v>
      </c>
      <c r="G62" s="49" t="s">
        <v>599</v>
      </c>
      <c r="H62" s="49" t="s">
        <v>600</v>
      </c>
      <c r="I62" s="112" t="s">
        <v>601</v>
      </c>
      <c r="J62" s="112" t="s">
        <v>602</v>
      </c>
      <c r="K62" s="112">
        <v>45</v>
      </c>
      <c r="L62" s="184">
        <v>55</v>
      </c>
      <c r="M62" s="184">
        <v>0.9</v>
      </c>
      <c r="N62" s="185">
        <v>6000</v>
      </c>
      <c r="O62" s="185">
        <v>10000</v>
      </c>
      <c r="P62" s="185">
        <v>15000</v>
      </c>
      <c r="Q62" s="185">
        <v>25000</v>
      </c>
      <c r="R62" s="185" t="s">
        <v>110</v>
      </c>
      <c r="S62" s="185" t="s">
        <v>39</v>
      </c>
      <c r="T62" s="185" t="s">
        <v>603</v>
      </c>
      <c r="U62" s="185" t="s">
        <v>604</v>
      </c>
      <c r="V62" s="112" t="s">
        <v>605</v>
      </c>
      <c r="W62" s="49" t="s">
        <v>39</v>
      </c>
      <c r="X62" s="49" t="s">
        <v>43</v>
      </c>
    </row>
    <row r="63" s="1" customFormat="1" ht="50" customHeight="1" spans="1:24">
      <c r="A63" s="193">
        <v>53</v>
      </c>
      <c r="B63" s="214"/>
      <c r="C63" s="24" t="str">
        <f>_xlfn.DISPIMG("ID_2FF67B11DFB0425692DB0B5545CE743A",1)</f>
        <v>=DISPIMG("ID_2FF67B11DFB0425692DB0B5545CE743A",1)</v>
      </c>
      <c r="D63" s="21" t="s">
        <v>606</v>
      </c>
      <c r="E63" s="204" t="s">
        <v>607</v>
      </c>
      <c r="F63" s="43" t="s">
        <v>608</v>
      </c>
      <c r="G63" s="43" t="s">
        <v>599</v>
      </c>
      <c r="H63" s="43" t="s">
        <v>609</v>
      </c>
      <c r="I63" s="123" t="s">
        <v>610</v>
      </c>
      <c r="J63" s="123" t="s">
        <v>611</v>
      </c>
      <c r="K63" s="123">
        <v>485.5</v>
      </c>
      <c r="L63" s="157">
        <v>75.4</v>
      </c>
      <c r="M63" s="157">
        <v>4.9</v>
      </c>
      <c r="N63" s="190">
        <v>50000</v>
      </c>
      <c r="O63" s="190">
        <v>62000</v>
      </c>
      <c r="P63" s="190">
        <v>76000</v>
      </c>
      <c r="Q63" s="190">
        <v>86000</v>
      </c>
      <c r="R63" s="190" t="s">
        <v>110</v>
      </c>
      <c r="S63" s="190" t="s">
        <v>39</v>
      </c>
      <c r="T63" s="190" t="s">
        <v>612</v>
      </c>
      <c r="U63" s="190" t="s">
        <v>613</v>
      </c>
      <c r="V63" s="123" t="s">
        <v>614</v>
      </c>
      <c r="W63" s="43" t="s">
        <v>615</v>
      </c>
      <c r="X63" s="43" t="s">
        <v>43</v>
      </c>
    </row>
    <row r="64" s="1" customFormat="1" ht="50" customHeight="1" spans="1:24">
      <c r="A64" s="180">
        <v>54</v>
      </c>
      <c r="B64" s="198"/>
      <c r="C64" s="181" t="str">
        <f>_xlfn.DISPIMG("ID_F02F4A17A7024B73921EEC930E05E90D",1)</f>
        <v>=DISPIMG("ID_F02F4A17A7024B73921EEC930E05E90D",1)</v>
      </c>
      <c r="D64" s="46" t="s">
        <v>616</v>
      </c>
      <c r="E64" s="182" t="s">
        <v>617</v>
      </c>
      <c r="F64" s="49" t="s">
        <v>618</v>
      </c>
      <c r="G64" s="49" t="s">
        <v>619</v>
      </c>
      <c r="H64" s="49" t="s">
        <v>620</v>
      </c>
      <c r="I64" s="112" t="s">
        <v>621</v>
      </c>
      <c r="J64" s="112" t="s">
        <v>622</v>
      </c>
      <c r="K64" s="112">
        <v>212.3</v>
      </c>
      <c r="L64" s="184">
        <v>260.4</v>
      </c>
      <c r="M64" s="184">
        <v>4.1</v>
      </c>
      <c r="N64" s="185">
        <v>42000</v>
      </c>
      <c r="O64" s="185">
        <v>50000</v>
      </c>
      <c r="P64" s="185">
        <v>55000</v>
      </c>
      <c r="Q64" s="185">
        <v>65000</v>
      </c>
      <c r="R64" s="185" t="s">
        <v>110</v>
      </c>
      <c r="S64" s="185" t="s">
        <v>39</v>
      </c>
      <c r="T64" s="185" t="s">
        <v>623</v>
      </c>
      <c r="U64" s="185" t="s">
        <v>624</v>
      </c>
      <c r="V64" s="112" t="s">
        <v>625</v>
      </c>
      <c r="W64" s="49" t="s">
        <v>626</v>
      </c>
      <c r="X64" s="49" t="s">
        <v>43</v>
      </c>
    </row>
    <row r="65" s="1" customFormat="1" ht="50" customHeight="1" spans="1:24">
      <c r="A65" s="193">
        <v>55</v>
      </c>
      <c r="B65" s="187"/>
      <c r="C65" s="24" t="str">
        <f>_xlfn.DISPIMG("ID_86991555FC7344308253B62CED885C6C",1)</f>
        <v>=DISPIMG("ID_86991555FC7344308253B62CED885C6C",1)</v>
      </c>
      <c r="D65" s="21" t="s">
        <v>627</v>
      </c>
      <c r="E65" s="204" t="s">
        <v>628</v>
      </c>
      <c r="F65" s="43" t="s">
        <v>629</v>
      </c>
      <c r="G65" s="43" t="s">
        <v>516</v>
      </c>
      <c r="H65" s="43" t="s">
        <v>630</v>
      </c>
      <c r="I65" s="123" t="s">
        <v>631</v>
      </c>
      <c r="J65" s="285" t="s">
        <v>632</v>
      </c>
      <c r="K65" s="123">
        <v>36.5</v>
      </c>
      <c r="L65" s="157">
        <v>23</v>
      </c>
      <c r="M65" s="157">
        <v>0.6</v>
      </c>
      <c r="N65" s="190">
        <v>8000</v>
      </c>
      <c r="O65" s="190">
        <v>12000</v>
      </c>
      <c r="P65" s="190">
        <v>16000</v>
      </c>
      <c r="Q65" s="190" t="s">
        <v>39</v>
      </c>
      <c r="R65" s="190" t="s">
        <v>98</v>
      </c>
      <c r="S65" s="190" t="s">
        <v>39</v>
      </c>
      <c r="T65" s="190" t="s">
        <v>633</v>
      </c>
      <c r="U65" s="190" t="s">
        <v>634</v>
      </c>
      <c r="V65" s="123" t="s">
        <v>635</v>
      </c>
      <c r="W65" s="43" t="s">
        <v>636</v>
      </c>
      <c r="X65" s="43" t="s">
        <v>637</v>
      </c>
    </row>
    <row r="66" s="1" customFormat="1" ht="50" customHeight="1" spans="1:24">
      <c r="A66" s="180">
        <v>56</v>
      </c>
      <c r="B66" s="198"/>
      <c r="C66" s="181" t="str">
        <f>_xlfn.DISPIMG("ID_A412230D60AB468488551983E18F68BC",1)</f>
        <v>=DISPIMG("ID_A412230D60AB468488551983E18F68BC",1)</v>
      </c>
      <c r="D66" s="46" t="s">
        <v>638</v>
      </c>
      <c r="E66" s="182" t="s">
        <v>639</v>
      </c>
      <c r="F66" s="49">
        <v>97700283392</v>
      </c>
      <c r="G66" s="49" t="s">
        <v>640</v>
      </c>
      <c r="H66" s="49" t="s">
        <v>641</v>
      </c>
      <c r="I66" s="112" t="s">
        <v>642</v>
      </c>
      <c r="J66" s="112" t="s">
        <v>643</v>
      </c>
      <c r="K66" s="112">
        <v>13.3</v>
      </c>
      <c r="L66" s="184">
        <v>27.1</v>
      </c>
      <c r="M66" s="184">
        <v>0.4</v>
      </c>
      <c r="N66" s="185">
        <v>8000</v>
      </c>
      <c r="O66" s="185">
        <v>12000</v>
      </c>
      <c r="P66" s="185">
        <v>15000</v>
      </c>
      <c r="Q66" s="185">
        <v>25000</v>
      </c>
      <c r="R66" s="185" t="s">
        <v>39</v>
      </c>
      <c r="S66" s="185" t="s">
        <v>39</v>
      </c>
      <c r="T66" s="185" t="s">
        <v>644</v>
      </c>
      <c r="U66" s="185" t="s">
        <v>645</v>
      </c>
      <c r="V66" s="112" t="s">
        <v>646</v>
      </c>
      <c r="W66" s="49" t="s">
        <v>39</v>
      </c>
      <c r="X66" s="49" t="s">
        <v>43</v>
      </c>
    </row>
    <row r="67" s="1" customFormat="1" ht="50" customHeight="1" spans="1:24">
      <c r="A67" s="193">
        <v>57</v>
      </c>
      <c r="B67" s="214"/>
      <c r="C67" s="24" t="str">
        <f>_xlfn.DISPIMG("ID_E612ACA65138477AA6E959FC6871AA0D",1)</f>
        <v>=DISPIMG("ID_E612ACA65138477AA6E959FC6871AA0D",1)</v>
      </c>
      <c r="D67" s="21" t="s">
        <v>647</v>
      </c>
      <c r="E67" s="204" t="s">
        <v>648</v>
      </c>
      <c r="F67" s="43" t="s">
        <v>649</v>
      </c>
      <c r="G67" s="43" t="s">
        <v>619</v>
      </c>
      <c r="H67" s="43" t="s">
        <v>650</v>
      </c>
      <c r="I67" s="123" t="s">
        <v>651</v>
      </c>
      <c r="J67" s="123" t="s">
        <v>652</v>
      </c>
      <c r="K67" s="123">
        <v>52.3</v>
      </c>
      <c r="L67" s="157">
        <v>16.9</v>
      </c>
      <c r="M67" s="157">
        <v>0.7</v>
      </c>
      <c r="N67" s="190">
        <v>12000</v>
      </c>
      <c r="O67" s="190">
        <v>18000</v>
      </c>
      <c r="P67" s="190">
        <v>22000</v>
      </c>
      <c r="Q67" s="190">
        <v>32000</v>
      </c>
      <c r="R67" s="190" t="s">
        <v>110</v>
      </c>
      <c r="S67" s="190" t="s">
        <v>39</v>
      </c>
      <c r="T67" s="190" t="s">
        <v>653</v>
      </c>
      <c r="U67" s="190" t="s">
        <v>654</v>
      </c>
      <c r="V67" s="123" t="s">
        <v>655</v>
      </c>
      <c r="W67" s="43" t="s">
        <v>656</v>
      </c>
      <c r="X67" s="43" t="s">
        <v>43</v>
      </c>
    </row>
    <row r="68" s="165" customFormat="1" ht="25" customHeight="1" spans="1:24">
      <c r="A68" s="133"/>
      <c r="B68" s="133"/>
      <c r="C68" s="133"/>
      <c r="D68" s="133"/>
      <c r="E68" s="133"/>
      <c r="F68" s="133"/>
      <c r="G68" s="133"/>
      <c r="H68" s="133"/>
      <c r="I68" s="216"/>
      <c r="J68" s="216" t="s">
        <v>657</v>
      </c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</row>
    <row r="69" s="1" customFormat="1" ht="50" customHeight="1" spans="1:24">
      <c r="A69" s="180">
        <v>58</v>
      </c>
      <c r="B69" s="211"/>
      <c r="C69" s="181" t="str">
        <f>_xlfn.DISPIMG("ID_04B9406E73AD45868CFDE025F1A67C64",1)</f>
        <v>=DISPIMG("ID_04B9406E73AD45868CFDE025F1A67C64",1)</v>
      </c>
      <c r="D69" s="46" t="s">
        <v>658</v>
      </c>
      <c r="E69" s="182" t="s">
        <v>659</v>
      </c>
      <c r="F69" s="49">
        <v>20396292</v>
      </c>
      <c r="G69" s="46" t="s">
        <v>660</v>
      </c>
      <c r="H69" s="49" t="s">
        <v>661</v>
      </c>
      <c r="I69" s="112" t="s">
        <v>662</v>
      </c>
      <c r="J69" s="112" t="s">
        <v>663</v>
      </c>
      <c r="K69" s="112">
        <v>138.9</v>
      </c>
      <c r="L69" s="184">
        <v>49.6</v>
      </c>
      <c r="M69" s="184">
        <v>1</v>
      </c>
      <c r="N69" s="185">
        <v>80000</v>
      </c>
      <c r="O69" s="185">
        <v>100000</v>
      </c>
      <c r="P69" s="185">
        <v>120000</v>
      </c>
      <c r="Q69" s="185">
        <v>130000</v>
      </c>
      <c r="R69" s="185" t="s">
        <v>110</v>
      </c>
      <c r="S69" s="185" t="s">
        <v>39</v>
      </c>
      <c r="T69" s="185" t="s">
        <v>664</v>
      </c>
      <c r="U69" s="185" t="s">
        <v>665</v>
      </c>
      <c r="V69" s="112" t="s">
        <v>666</v>
      </c>
      <c r="W69" s="49" t="s">
        <v>667</v>
      </c>
      <c r="X69" s="49" t="s">
        <v>402</v>
      </c>
    </row>
    <row r="70" s="1" customFormat="1" ht="50" customHeight="1" spans="1:24">
      <c r="A70" s="186">
        <v>59</v>
      </c>
      <c r="B70" s="214"/>
      <c r="C70" s="217" t="str">
        <f>_xlfn.DISPIMG("ID_918CC43491354479B68FB81A3D0E4BA3",1)</f>
        <v>=DISPIMG("ID_918CC43491354479B68FB81A3D0E4BA3",1)</v>
      </c>
      <c r="D70" s="21" t="s">
        <v>668</v>
      </c>
      <c r="E70" s="204" t="s">
        <v>669</v>
      </c>
      <c r="F70" s="43" t="s">
        <v>670</v>
      </c>
      <c r="G70" s="43" t="s">
        <v>671</v>
      </c>
      <c r="H70" s="43" t="s">
        <v>672</v>
      </c>
      <c r="I70" s="123" t="s">
        <v>673</v>
      </c>
      <c r="J70" s="123" t="s">
        <v>674</v>
      </c>
      <c r="K70" s="123">
        <v>149.7</v>
      </c>
      <c r="L70" s="157" t="s">
        <v>39</v>
      </c>
      <c r="M70" s="157">
        <v>10</v>
      </c>
      <c r="N70" s="190">
        <v>35000</v>
      </c>
      <c r="O70" s="190">
        <v>45000</v>
      </c>
      <c r="P70" s="190">
        <v>50000</v>
      </c>
      <c r="Q70" s="190">
        <v>60000</v>
      </c>
      <c r="R70" s="190" t="s">
        <v>110</v>
      </c>
      <c r="S70" s="190" t="s">
        <v>39</v>
      </c>
      <c r="T70" s="190" t="s">
        <v>675</v>
      </c>
      <c r="U70" s="190" t="s">
        <v>676</v>
      </c>
      <c r="V70" s="123" t="s">
        <v>677</v>
      </c>
      <c r="W70" s="43" t="s">
        <v>678</v>
      </c>
      <c r="X70" s="43" t="s">
        <v>43</v>
      </c>
    </row>
    <row r="71" s="1" customFormat="1" ht="50" customHeight="1" spans="1:24">
      <c r="A71" s="180">
        <v>60</v>
      </c>
      <c r="B71" s="211"/>
      <c r="C71" s="181" t="str">
        <f>_xlfn.DISPIMG("ID_96F902CF6DC9447CA83C0F706D1423F1",1)</f>
        <v>=DISPIMG("ID_96F902CF6DC9447CA83C0F706D1423F1",1)</v>
      </c>
      <c r="D71" s="46" t="s">
        <v>679</v>
      </c>
      <c r="E71" s="182" t="s">
        <v>680</v>
      </c>
      <c r="F71" s="49">
        <v>54263633927</v>
      </c>
      <c r="G71" s="46" t="s">
        <v>681</v>
      </c>
      <c r="H71" s="49" t="s">
        <v>682</v>
      </c>
      <c r="I71" s="112" t="s">
        <v>683</v>
      </c>
      <c r="J71" s="112" t="s">
        <v>684</v>
      </c>
      <c r="K71" s="112">
        <v>115.5</v>
      </c>
      <c r="L71" s="184">
        <v>104.9</v>
      </c>
      <c r="M71" s="184">
        <v>2.8</v>
      </c>
      <c r="N71" s="185">
        <v>45000</v>
      </c>
      <c r="O71" s="185">
        <v>55000</v>
      </c>
      <c r="P71" s="185">
        <v>65000</v>
      </c>
      <c r="Q71" s="185">
        <v>75000</v>
      </c>
      <c r="R71" s="185" t="s">
        <v>110</v>
      </c>
      <c r="S71" s="185" t="s">
        <v>685</v>
      </c>
      <c r="T71" s="185" t="s">
        <v>686</v>
      </c>
      <c r="U71" s="185" t="s">
        <v>687</v>
      </c>
      <c r="V71" s="112" t="s">
        <v>688</v>
      </c>
      <c r="W71" s="49" t="s">
        <v>689</v>
      </c>
      <c r="X71" s="49" t="s">
        <v>402</v>
      </c>
    </row>
    <row r="72" s="164" customFormat="1" ht="25" customHeight="1" spans="1:24">
      <c r="A72" s="136"/>
      <c r="B72" s="136"/>
      <c r="C72" s="136"/>
      <c r="D72" s="136"/>
      <c r="E72" s="136"/>
      <c r="F72" s="136"/>
      <c r="G72" s="136"/>
      <c r="H72" s="136"/>
      <c r="I72" s="201"/>
      <c r="J72" s="201" t="s">
        <v>690</v>
      </c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</row>
    <row r="73" s="1" customFormat="1" ht="50" customHeight="1" spans="1:24">
      <c r="A73" s="180">
        <v>61</v>
      </c>
      <c r="B73" s="211"/>
      <c r="C73" s="181" t="str">
        <f>_xlfn.DISPIMG("ID_2A909E8A25084C82BBCCB7755957DE7A",1)</f>
        <v>=DISPIMG("ID_2A909E8A25084C82BBCCB7755957DE7A",1)</v>
      </c>
      <c r="D73" s="46" t="s">
        <v>691</v>
      </c>
      <c r="E73" s="199" t="s">
        <v>692</v>
      </c>
      <c r="F73" s="49" t="s">
        <v>693</v>
      </c>
      <c r="G73" s="49" t="s">
        <v>694</v>
      </c>
      <c r="H73" s="49" t="s">
        <v>695</v>
      </c>
      <c r="I73" s="112" t="s">
        <v>696</v>
      </c>
      <c r="J73" s="112" t="s">
        <v>697</v>
      </c>
      <c r="K73" s="112">
        <v>1142.2</v>
      </c>
      <c r="L73" s="184">
        <v>61.2</v>
      </c>
      <c r="M73" s="184">
        <v>1.2</v>
      </c>
      <c r="N73" s="185">
        <v>140000</v>
      </c>
      <c r="O73" s="185">
        <v>160000</v>
      </c>
      <c r="P73" s="185">
        <v>180000</v>
      </c>
      <c r="Q73" s="185">
        <v>190000</v>
      </c>
      <c r="R73" s="185" t="s">
        <v>110</v>
      </c>
      <c r="S73" s="185" t="s">
        <v>39</v>
      </c>
      <c r="T73" s="185" t="s">
        <v>698</v>
      </c>
      <c r="U73" s="185" t="s">
        <v>699</v>
      </c>
      <c r="V73" s="112" t="s">
        <v>700</v>
      </c>
      <c r="W73" s="49" t="s">
        <v>701</v>
      </c>
      <c r="X73" s="49" t="s">
        <v>702</v>
      </c>
    </row>
    <row r="74" s="1" customFormat="1" ht="50" customHeight="1" spans="1:24">
      <c r="A74" s="186">
        <v>62</v>
      </c>
      <c r="B74" s="187" t="s">
        <v>148</v>
      </c>
      <c r="C74" s="217" t="str">
        <f>_xlfn.DISPIMG("ID_CD0F50CCCD824C92AFDEBB40BF3807E8",1)</f>
        <v>=DISPIMG("ID_CD0F50CCCD824C92AFDEBB40BF3807E8",1)</v>
      </c>
      <c r="D74" s="21" t="s">
        <v>703</v>
      </c>
      <c r="E74" s="189" t="s">
        <v>704</v>
      </c>
      <c r="F74" s="43" t="s">
        <v>705</v>
      </c>
      <c r="G74" s="43" t="s">
        <v>706</v>
      </c>
      <c r="H74" s="43" t="s">
        <v>707</v>
      </c>
      <c r="I74" s="123" t="s">
        <v>708</v>
      </c>
      <c r="J74" s="285" t="s">
        <v>709</v>
      </c>
      <c r="K74" s="123">
        <v>1026.8</v>
      </c>
      <c r="L74" s="157">
        <v>77.3</v>
      </c>
      <c r="M74" s="157">
        <v>3.2</v>
      </c>
      <c r="N74" s="190">
        <v>158000</v>
      </c>
      <c r="O74" s="190">
        <v>178000</v>
      </c>
      <c r="P74" s="190">
        <v>200000</v>
      </c>
      <c r="Q74" s="190" t="s">
        <v>39</v>
      </c>
      <c r="R74" s="190" t="s">
        <v>39</v>
      </c>
      <c r="S74" s="190" t="s">
        <v>39</v>
      </c>
      <c r="T74" s="190" t="s">
        <v>710</v>
      </c>
      <c r="U74" s="190" t="s">
        <v>711</v>
      </c>
      <c r="V74" s="190" t="s">
        <v>712</v>
      </c>
      <c r="W74" s="43" t="s">
        <v>713</v>
      </c>
      <c r="X74" s="43" t="s">
        <v>43</v>
      </c>
    </row>
    <row r="75" s="1" customFormat="1" ht="50" customHeight="1" spans="1:24">
      <c r="A75" s="180">
        <v>63</v>
      </c>
      <c r="B75" s="218" t="s">
        <v>90</v>
      </c>
      <c r="C75" s="181" t="str">
        <f>_xlfn.DISPIMG("ID_E4D182802A47458298E6F0461565D148",1)</f>
        <v>=DISPIMG("ID_E4D182802A47458298E6F0461565D148",1)</v>
      </c>
      <c r="D75" s="46" t="s">
        <v>714</v>
      </c>
      <c r="E75" s="199" t="s">
        <v>715</v>
      </c>
      <c r="F75" s="49" t="s">
        <v>716</v>
      </c>
      <c r="G75" s="49" t="s">
        <v>717</v>
      </c>
      <c r="H75" s="49" t="s">
        <v>718</v>
      </c>
      <c r="I75" s="112" t="s">
        <v>719</v>
      </c>
      <c r="J75" s="284" t="s">
        <v>720</v>
      </c>
      <c r="K75" s="112">
        <v>959.9</v>
      </c>
      <c r="L75" s="184">
        <v>35.9</v>
      </c>
      <c r="M75" s="184">
        <v>1.5</v>
      </c>
      <c r="N75" s="185">
        <v>50000</v>
      </c>
      <c r="O75" s="185">
        <v>60000</v>
      </c>
      <c r="P75" s="185">
        <v>70000</v>
      </c>
      <c r="Q75" s="185" t="s">
        <v>39</v>
      </c>
      <c r="R75" s="185" t="s">
        <v>39</v>
      </c>
      <c r="S75" s="185" t="s">
        <v>39</v>
      </c>
      <c r="T75" s="185" t="s">
        <v>721</v>
      </c>
      <c r="U75" s="185" t="s">
        <v>722</v>
      </c>
      <c r="V75" s="112" t="s">
        <v>723</v>
      </c>
      <c r="W75" s="49" t="s">
        <v>39</v>
      </c>
      <c r="X75" s="49" t="s">
        <v>43</v>
      </c>
    </row>
    <row r="76" s="1" customFormat="1" ht="50" customHeight="1" spans="1:24">
      <c r="A76" s="186">
        <v>64</v>
      </c>
      <c r="B76" s="187"/>
      <c r="C76" s="217" t="str">
        <f>_xlfn.DISPIMG("ID_EFC9750CF8E540E9B6079702B9F810EA",1)</f>
        <v>=DISPIMG("ID_EFC9750CF8E540E9B6079702B9F810EA",1)</v>
      </c>
      <c r="D76" s="21" t="s">
        <v>724</v>
      </c>
      <c r="E76" s="189" t="s">
        <v>725</v>
      </c>
      <c r="F76" s="43" t="s">
        <v>726</v>
      </c>
      <c r="G76" s="43" t="s">
        <v>727</v>
      </c>
      <c r="H76" s="43" t="s">
        <v>728</v>
      </c>
      <c r="I76" s="123" t="s">
        <v>729</v>
      </c>
      <c r="J76" s="123" t="s">
        <v>730</v>
      </c>
      <c r="K76" s="123">
        <v>257.4</v>
      </c>
      <c r="L76" s="157">
        <v>67.5</v>
      </c>
      <c r="M76" s="157">
        <v>1.8</v>
      </c>
      <c r="N76" s="190">
        <v>98000</v>
      </c>
      <c r="O76" s="190">
        <v>98000</v>
      </c>
      <c r="P76" s="190">
        <v>138000</v>
      </c>
      <c r="Q76" s="190">
        <v>148000</v>
      </c>
      <c r="R76" s="190" t="s">
        <v>110</v>
      </c>
      <c r="S76" s="190" t="s">
        <v>39</v>
      </c>
      <c r="T76" s="190" t="s">
        <v>731</v>
      </c>
      <c r="U76" s="190" t="s">
        <v>732</v>
      </c>
      <c r="V76" s="190" t="s">
        <v>733</v>
      </c>
      <c r="W76" s="43" t="s">
        <v>734</v>
      </c>
      <c r="X76" s="43" t="s">
        <v>43</v>
      </c>
    </row>
    <row r="77" s="1" customFormat="1" ht="50" customHeight="1" spans="1:24">
      <c r="A77" s="180">
        <v>65</v>
      </c>
      <c r="B77" s="218" t="s">
        <v>148</v>
      </c>
      <c r="C77" s="46" t="str">
        <f>_xlfn.DISPIMG("ID_1E53894226F0447CA4D62FA5B8BA1118",1)</f>
        <v>=DISPIMG("ID_1E53894226F0447CA4D62FA5B8BA1118",1)</v>
      </c>
      <c r="D77" s="46" t="s">
        <v>735</v>
      </c>
      <c r="E77" s="49" t="s">
        <v>736</v>
      </c>
      <c r="F77" s="49">
        <v>73352014725</v>
      </c>
      <c r="G77" s="49" t="s">
        <v>737</v>
      </c>
      <c r="H77" s="112" t="s">
        <v>738</v>
      </c>
      <c r="I77" s="112" t="s">
        <v>739</v>
      </c>
      <c r="J77" s="284" t="s">
        <v>740</v>
      </c>
      <c r="K77" s="112">
        <v>139.5</v>
      </c>
      <c r="L77" s="184">
        <v>54.8</v>
      </c>
      <c r="M77" s="184">
        <v>1.1</v>
      </c>
      <c r="N77" s="185">
        <v>30000</v>
      </c>
      <c r="O77" s="185">
        <v>35000</v>
      </c>
      <c r="P77" s="185">
        <v>45000</v>
      </c>
      <c r="Q77" s="185" t="s">
        <v>39</v>
      </c>
      <c r="R77" s="185" t="s">
        <v>741</v>
      </c>
      <c r="S77" s="185" t="s">
        <v>39</v>
      </c>
      <c r="T77" s="185" t="s">
        <v>742</v>
      </c>
      <c r="U77" s="185" t="s">
        <v>743</v>
      </c>
      <c r="V77" s="112" t="s">
        <v>744</v>
      </c>
      <c r="W77" s="49" t="s">
        <v>745</v>
      </c>
      <c r="X77" s="49" t="s">
        <v>746</v>
      </c>
    </row>
    <row r="78" s="1" customFormat="1" ht="50" customHeight="1" spans="1:24">
      <c r="A78" s="186">
        <v>66</v>
      </c>
      <c r="B78" s="187"/>
      <c r="C78" s="217" t="str">
        <f>_xlfn.DISPIMG("ID_DC126CE61D9344459D5C67F122FC46EE",1)</f>
        <v>=DISPIMG("ID_DC126CE61D9344459D5C67F122FC46EE",1)</v>
      </c>
      <c r="D78" s="21" t="s">
        <v>747</v>
      </c>
      <c r="E78" s="189" t="s">
        <v>748</v>
      </c>
      <c r="F78" s="43" t="s">
        <v>749</v>
      </c>
      <c r="G78" s="43" t="s">
        <v>750</v>
      </c>
      <c r="H78" s="43" t="s">
        <v>751</v>
      </c>
      <c r="I78" s="123" t="s">
        <v>752</v>
      </c>
      <c r="J78" s="123" t="s">
        <v>753</v>
      </c>
      <c r="K78" s="123">
        <v>64.3</v>
      </c>
      <c r="L78" s="157">
        <v>217.5</v>
      </c>
      <c r="M78" s="157">
        <v>1.8</v>
      </c>
      <c r="N78" s="190">
        <v>26000</v>
      </c>
      <c r="O78" s="190">
        <v>35000</v>
      </c>
      <c r="P78" s="190">
        <v>42000</v>
      </c>
      <c r="Q78" s="190">
        <v>52000</v>
      </c>
      <c r="R78" s="190" t="s">
        <v>143</v>
      </c>
      <c r="S78" s="190" t="s">
        <v>39</v>
      </c>
      <c r="T78" s="190" t="s">
        <v>754</v>
      </c>
      <c r="U78" s="190" t="s">
        <v>755</v>
      </c>
      <c r="V78" s="190" t="s">
        <v>756</v>
      </c>
      <c r="W78" s="43" t="s">
        <v>757</v>
      </c>
      <c r="X78" s="43" t="s">
        <v>43</v>
      </c>
    </row>
    <row r="79" s="1" customFormat="1" ht="50" customHeight="1" spans="1:24">
      <c r="A79" s="180">
        <v>67</v>
      </c>
      <c r="B79" s="218" t="s">
        <v>148</v>
      </c>
      <c r="C79" s="211" t="str">
        <f>_xlfn.DISPIMG("ID_A6F025CCCD2A49668E318B310BB2E213",1)</f>
        <v>=DISPIMG("ID_A6F025CCCD2A49668E318B310BB2E213",1)</v>
      </c>
      <c r="D79" s="46" t="s">
        <v>758</v>
      </c>
      <c r="E79" s="199" t="s">
        <v>759</v>
      </c>
      <c r="F79" s="49" t="s">
        <v>760</v>
      </c>
      <c r="G79" s="49" t="s">
        <v>717</v>
      </c>
      <c r="H79" s="112" t="s">
        <v>761</v>
      </c>
      <c r="I79" s="112" t="s">
        <v>762</v>
      </c>
      <c r="J79" s="284" t="s">
        <v>763</v>
      </c>
      <c r="K79" s="112">
        <v>94.2</v>
      </c>
      <c r="L79" s="184">
        <v>26.6</v>
      </c>
      <c r="M79" s="184">
        <v>4.6</v>
      </c>
      <c r="N79" s="185">
        <v>18000</v>
      </c>
      <c r="O79" s="185">
        <v>24000</v>
      </c>
      <c r="P79" s="185">
        <v>30000</v>
      </c>
      <c r="Q79" s="185">
        <v>40000</v>
      </c>
      <c r="R79" s="185" t="s">
        <v>764</v>
      </c>
      <c r="S79" s="185" t="s">
        <v>39</v>
      </c>
      <c r="T79" s="185" t="s">
        <v>765</v>
      </c>
      <c r="U79" s="185" t="s">
        <v>766</v>
      </c>
      <c r="V79" s="112" t="s">
        <v>767</v>
      </c>
      <c r="W79" s="49" t="s">
        <v>39</v>
      </c>
      <c r="X79" s="49" t="s">
        <v>768</v>
      </c>
    </row>
    <row r="80" s="1" customFormat="1" ht="50" customHeight="1" spans="1:24">
      <c r="A80" s="186">
        <v>68</v>
      </c>
      <c r="B80" s="187" t="s">
        <v>90</v>
      </c>
      <c r="C80" s="217" t="str">
        <f>_xlfn.DISPIMG("ID_D3746F5F0C434E6C947859C6AE53CE2A",1)</f>
        <v>=DISPIMG("ID_D3746F5F0C434E6C947859C6AE53CE2A",1)</v>
      </c>
      <c r="D80" s="21" t="s">
        <v>769</v>
      </c>
      <c r="E80" s="189" t="s">
        <v>770</v>
      </c>
      <c r="F80" s="43" t="s">
        <v>771</v>
      </c>
      <c r="G80" s="43" t="s">
        <v>750</v>
      </c>
      <c r="H80" s="43" t="s">
        <v>772</v>
      </c>
      <c r="I80" s="123" t="s">
        <v>773</v>
      </c>
      <c r="J80" s="123" t="s">
        <v>774</v>
      </c>
      <c r="K80" s="123">
        <v>76.1</v>
      </c>
      <c r="L80" s="157">
        <v>89.6</v>
      </c>
      <c r="M80" s="157">
        <v>1.9</v>
      </c>
      <c r="N80" s="190">
        <v>18000</v>
      </c>
      <c r="O80" s="190">
        <v>35000</v>
      </c>
      <c r="P80" s="190">
        <v>50000</v>
      </c>
      <c r="Q80" s="190">
        <v>60000</v>
      </c>
      <c r="R80" s="190" t="s">
        <v>110</v>
      </c>
      <c r="S80" s="190" t="s">
        <v>39</v>
      </c>
      <c r="T80" s="190" t="s">
        <v>775</v>
      </c>
      <c r="U80" s="190" t="s">
        <v>776</v>
      </c>
      <c r="V80" s="190" t="s">
        <v>777</v>
      </c>
      <c r="W80" s="43" t="s">
        <v>778</v>
      </c>
      <c r="X80" s="43" t="s">
        <v>779</v>
      </c>
    </row>
    <row r="81" s="1" customFormat="1" ht="50" customHeight="1" spans="1:24">
      <c r="A81" s="180">
        <v>69</v>
      </c>
      <c r="B81" s="46"/>
      <c r="C81" s="46" t="str">
        <f>_xlfn.DISPIMG("ID_FDC8BBE22A3C48C7BED29A4072716614",1)</f>
        <v>=DISPIMG("ID_FDC8BBE22A3C48C7BED29A4072716614",1)</v>
      </c>
      <c r="D81" s="46" t="s">
        <v>780</v>
      </c>
      <c r="E81" s="199" t="s">
        <v>781</v>
      </c>
      <c r="F81" s="49">
        <v>29994506811</v>
      </c>
      <c r="G81" s="49" t="s">
        <v>750</v>
      </c>
      <c r="H81" s="49" t="s">
        <v>782</v>
      </c>
      <c r="I81" s="112" t="s">
        <v>783</v>
      </c>
      <c r="J81" s="284" t="s">
        <v>784</v>
      </c>
      <c r="K81" s="112">
        <v>43.2</v>
      </c>
      <c r="L81" s="184">
        <v>32.8</v>
      </c>
      <c r="M81" s="184">
        <v>1.6</v>
      </c>
      <c r="N81" s="185">
        <v>15000</v>
      </c>
      <c r="O81" s="185">
        <v>22000</v>
      </c>
      <c r="P81" s="185">
        <v>35000</v>
      </c>
      <c r="Q81" s="185" t="s">
        <v>39</v>
      </c>
      <c r="R81" s="185" t="s">
        <v>785</v>
      </c>
      <c r="S81" s="185" t="s">
        <v>39</v>
      </c>
      <c r="T81" s="185" t="s">
        <v>786</v>
      </c>
      <c r="U81" s="185" t="s">
        <v>787</v>
      </c>
      <c r="V81" s="112" t="s">
        <v>788</v>
      </c>
      <c r="W81" s="49" t="s">
        <v>789</v>
      </c>
      <c r="X81" s="49" t="s">
        <v>402</v>
      </c>
    </row>
    <row r="82" s="1" customFormat="1" ht="50" customHeight="1" spans="1:24">
      <c r="A82" s="186">
        <v>70</v>
      </c>
      <c r="B82" s="187"/>
      <c r="C82" s="217" t="str">
        <f>_xlfn.DISPIMG("ID_087DE66911BC4A23A30A66A1676ADC1E",1)</f>
        <v>=DISPIMG("ID_087DE66911BC4A23A30A66A1676ADC1E",1)</v>
      </c>
      <c r="D82" s="21" t="s">
        <v>790</v>
      </c>
      <c r="E82" s="189" t="s">
        <v>791</v>
      </c>
      <c r="F82" s="43" t="s">
        <v>792</v>
      </c>
      <c r="G82" s="43" t="s">
        <v>793</v>
      </c>
      <c r="H82" s="43" t="s">
        <v>794</v>
      </c>
      <c r="I82" s="123" t="s">
        <v>795</v>
      </c>
      <c r="J82" s="123" t="s">
        <v>796</v>
      </c>
      <c r="K82" s="123">
        <v>44.4</v>
      </c>
      <c r="L82" s="157">
        <v>222.4</v>
      </c>
      <c r="M82" s="157">
        <v>5.4</v>
      </c>
      <c r="N82" s="190">
        <v>10000</v>
      </c>
      <c r="O82" s="190">
        <v>12000</v>
      </c>
      <c r="P82" s="190">
        <v>15000</v>
      </c>
      <c r="Q82" s="190">
        <v>25000</v>
      </c>
      <c r="R82" s="190" t="s">
        <v>110</v>
      </c>
      <c r="S82" s="190" t="s">
        <v>39</v>
      </c>
      <c r="T82" s="190" t="s">
        <v>797</v>
      </c>
      <c r="U82" s="190" t="s">
        <v>798</v>
      </c>
      <c r="V82" s="190" t="s">
        <v>799</v>
      </c>
      <c r="W82" s="43" t="s">
        <v>800</v>
      </c>
      <c r="X82" s="43" t="s">
        <v>43</v>
      </c>
    </row>
    <row r="83" s="1" customFormat="1" ht="50" customHeight="1" spans="1:24">
      <c r="A83" s="180">
        <v>71</v>
      </c>
      <c r="B83" s="218"/>
      <c r="C83" s="46" t="str">
        <f>_xlfn.DISPIMG("ID_854255A79A754EAEB34FAE071AA75CD8",1)</f>
        <v>=DISPIMG("ID_854255A79A754EAEB34FAE071AA75CD8",1)</v>
      </c>
      <c r="D83" s="46" t="s">
        <v>801</v>
      </c>
      <c r="E83" s="199" t="s">
        <v>802</v>
      </c>
      <c r="F83" s="49" t="s">
        <v>803</v>
      </c>
      <c r="G83" s="49" t="s">
        <v>804</v>
      </c>
      <c r="H83" s="49" t="s">
        <v>805</v>
      </c>
      <c r="I83" s="112" t="s">
        <v>806</v>
      </c>
      <c r="J83" s="112" t="s">
        <v>807</v>
      </c>
      <c r="K83" s="112">
        <v>19.8</v>
      </c>
      <c r="L83" s="184" t="s">
        <v>39</v>
      </c>
      <c r="M83" s="184" t="s">
        <v>39</v>
      </c>
      <c r="N83" s="185">
        <v>8000</v>
      </c>
      <c r="O83" s="185">
        <v>12000</v>
      </c>
      <c r="P83" s="185">
        <v>16000</v>
      </c>
      <c r="Q83" s="185">
        <v>26000</v>
      </c>
      <c r="R83" s="185" t="s">
        <v>110</v>
      </c>
      <c r="S83" s="185" t="s">
        <v>39</v>
      </c>
      <c r="T83" s="185" t="s">
        <v>808</v>
      </c>
      <c r="U83" s="185" t="s">
        <v>809</v>
      </c>
      <c r="V83" s="112" t="s">
        <v>810</v>
      </c>
      <c r="W83" s="49" t="s">
        <v>811</v>
      </c>
      <c r="X83" s="49" t="s">
        <v>370</v>
      </c>
    </row>
    <row r="84" s="1" customFormat="1" ht="50" customHeight="1" spans="1:24">
      <c r="A84" s="186">
        <v>72</v>
      </c>
      <c r="B84" s="187"/>
      <c r="C84" s="217" t="str">
        <f>_xlfn.DISPIMG("ID_AD67692D60824374B3128ACC0AAAE321",1)</f>
        <v>=DISPIMG("ID_AD67692D60824374B3128ACC0AAAE321",1)</v>
      </c>
      <c r="D84" s="21" t="s">
        <v>812</v>
      </c>
      <c r="E84" s="189" t="s">
        <v>813</v>
      </c>
      <c r="F84" s="43">
        <v>61264522222</v>
      </c>
      <c r="G84" s="43" t="s">
        <v>814</v>
      </c>
      <c r="H84" s="43" t="s">
        <v>815</v>
      </c>
      <c r="I84" s="123" t="s">
        <v>816</v>
      </c>
      <c r="J84" s="123" t="s">
        <v>817</v>
      </c>
      <c r="K84" s="123">
        <v>37.6</v>
      </c>
      <c r="L84" s="157">
        <v>58.7</v>
      </c>
      <c r="M84" s="157">
        <v>0.9</v>
      </c>
      <c r="N84" s="190">
        <v>18000</v>
      </c>
      <c r="O84" s="190">
        <v>19000</v>
      </c>
      <c r="P84" s="190">
        <v>21000</v>
      </c>
      <c r="Q84" s="190">
        <v>31000</v>
      </c>
      <c r="R84" s="190" t="s">
        <v>110</v>
      </c>
      <c r="S84" s="190" t="s">
        <v>39</v>
      </c>
      <c r="T84" s="190" t="s">
        <v>818</v>
      </c>
      <c r="U84" s="190" t="s">
        <v>819</v>
      </c>
      <c r="V84" s="190" t="s">
        <v>820</v>
      </c>
      <c r="W84" s="43" t="s">
        <v>821</v>
      </c>
      <c r="X84" s="43" t="s">
        <v>43</v>
      </c>
    </row>
    <row r="85" s="165" customFormat="1" ht="25" customHeight="1" spans="1:24">
      <c r="A85" s="219"/>
      <c r="B85" s="219"/>
      <c r="C85" s="219"/>
      <c r="D85" s="219"/>
      <c r="E85" s="219"/>
      <c r="F85" s="219"/>
      <c r="G85" s="219"/>
      <c r="H85" s="219"/>
      <c r="I85" s="220"/>
      <c r="J85" s="220" t="s">
        <v>822</v>
      </c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</row>
    <row r="86" s="1" customFormat="1" ht="50" customHeight="1" spans="1:24">
      <c r="A86" s="180">
        <v>73</v>
      </c>
      <c r="B86" s="211"/>
      <c r="C86" s="181" t="str">
        <f>_xlfn.DISPIMG("ID_3F1759559AB940A6A95E542A6EDD73B0",1)</f>
        <v>=DISPIMG("ID_3F1759559AB940A6A95E542A6EDD73B0",1)</v>
      </c>
      <c r="D86" s="46" t="s">
        <v>823</v>
      </c>
      <c r="E86" s="199" t="s">
        <v>824</v>
      </c>
      <c r="F86" s="49" t="s">
        <v>825</v>
      </c>
      <c r="G86" s="49" t="s">
        <v>619</v>
      </c>
      <c r="H86" s="49" t="s">
        <v>826</v>
      </c>
      <c r="I86" s="112" t="s">
        <v>827</v>
      </c>
      <c r="J86" s="112" t="s">
        <v>828</v>
      </c>
      <c r="K86" s="112">
        <v>501.4</v>
      </c>
      <c r="L86" s="184">
        <v>94.6</v>
      </c>
      <c r="M86" s="184">
        <v>2.1</v>
      </c>
      <c r="N86" s="185">
        <v>50000</v>
      </c>
      <c r="O86" s="185">
        <v>68000</v>
      </c>
      <c r="P86" s="185">
        <v>80000</v>
      </c>
      <c r="Q86" s="185">
        <v>90000</v>
      </c>
      <c r="R86" s="185" t="s">
        <v>110</v>
      </c>
      <c r="S86" s="185">
        <v>68000</v>
      </c>
      <c r="T86" s="185" t="s">
        <v>829</v>
      </c>
      <c r="U86" s="185" t="s">
        <v>830</v>
      </c>
      <c r="V86" s="185" t="s">
        <v>831</v>
      </c>
      <c r="W86" s="49" t="s">
        <v>832</v>
      </c>
      <c r="X86" s="49" t="s">
        <v>43</v>
      </c>
    </row>
    <row r="87" s="1" customFormat="1" ht="50" customHeight="1" spans="1:24">
      <c r="A87" s="186">
        <v>74</v>
      </c>
      <c r="B87" s="187" t="s">
        <v>171</v>
      </c>
      <c r="C87" s="217" t="str">
        <f>_xlfn.DISPIMG("ID_0DCD5B3AA2464438B079367360238EC8",1)</f>
        <v>=DISPIMG("ID_0DCD5B3AA2464438B079367360238EC8",1)</v>
      </c>
      <c r="D87" s="21" t="s">
        <v>833</v>
      </c>
      <c r="E87" s="204" t="s">
        <v>834</v>
      </c>
      <c r="F87" s="43">
        <v>179766600</v>
      </c>
      <c r="G87" s="221" t="s">
        <v>835</v>
      </c>
      <c r="H87" s="43" t="s">
        <v>836</v>
      </c>
      <c r="I87" s="123" t="s">
        <v>837</v>
      </c>
      <c r="J87" s="123" t="s">
        <v>838</v>
      </c>
      <c r="K87" s="123">
        <v>296.6</v>
      </c>
      <c r="L87" s="157">
        <v>126.9</v>
      </c>
      <c r="M87" s="157">
        <v>5.5</v>
      </c>
      <c r="N87" s="190">
        <v>34000</v>
      </c>
      <c r="O87" s="190">
        <v>42000</v>
      </c>
      <c r="P87" s="190">
        <v>50000</v>
      </c>
      <c r="Q87" s="190">
        <v>60000</v>
      </c>
      <c r="R87" s="190" t="s">
        <v>110</v>
      </c>
      <c r="S87" s="190">
        <v>38000</v>
      </c>
      <c r="T87" s="190" t="s">
        <v>839</v>
      </c>
      <c r="U87" s="190" t="s">
        <v>840</v>
      </c>
      <c r="V87" s="123" t="s">
        <v>841</v>
      </c>
      <c r="W87" s="43" t="s">
        <v>842</v>
      </c>
      <c r="X87" s="43" t="s">
        <v>843</v>
      </c>
    </row>
    <row r="88" s="1" customFormat="1" ht="50" customHeight="1" spans="1:24">
      <c r="A88" s="180">
        <v>75</v>
      </c>
      <c r="B88" s="211"/>
      <c r="C88" s="181" t="str">
        <f>_xlfn.DISPIMG("ID_20EB524645A64250A82E41D66BAD8E4C",1)</f>
        <v>=DISPIMG("ID_20EB524645A64250A82E41D66BAD8E4C",1)</v>
      </c>
      <c r="D88" s="46" t="s">
        <v>844</v>
      </c>
      <c r="E88" s="199" t="s">
        <v>845</v>
      </c>
      <c r="F88" s="49" t="s">
        <v>846</v>
      </c>
      <c r="G88" s="49" t="s">
        <v>835</v>
      </c>
      <c r="H88" s="49" t="s">
        <v>847</v>
      </c>
      <c r="I88" s="112" t="s">
        <v>848</v>
      </c>
      <c r="J88" s="112" t="s">
        <v>849</v>
      </c>
      <c r="K88" s="112">
        <v>114.2</v>
      </c>
      <c r="L88" s="184">
        <v>286.9</v>
      </c>
      <c r="M88" s="184">
        <v>6</v>
      </c>
      <c r="N88" s="185">
        <v>17000</v>
      </c>
      <c r="O88" s="185">
        <v>30000</v>
      </c>
      <c r="P88" s="185">
        <v>40000</v>
      </c>
      <c r="Q88" s="185">
        <v>50000</v>
      </c>
      <c r="R88" s="185" t="s">
        <v>143</v>
      </c>
      <c r="S88" s="185" t="s">
        <v>39</v>
      </c>
      <c r="T88" s="185" t="s">
        <v>850</v>
      </c>
      <c r="U88" s="185" t="s">
        <v>851</v>
      </c>
      <c r="V88" s="185" t="s">
        <v>852</v>
      </c>
      <c r="W88" s="49" t="s">
        <v>853</v>
      </c>
      <c r="X88" s="49" t="s">
        <v>43</v>
      </c>
    </row>
    <row r="89" s="1" customFormat="1" ht="50" customHeight="1" spans="1:24">
      <c r="A89" s="186">
        <v>76</v>
      </c>
      <c r="B89" s="187"/>
      <c r="C89" s="217" t="str">
        <f>_xlfn.DISPIMG("ID_DD6BE69C018A4D75A9AFFE009D0191C5",1)</f>
        <v>=DISPIMG("ID_DD6BE69C018A4D75A9AFFE009D0191C5",1)</v>
      </c>
      <c r="D89" s="21" t="s">
        <v>854</v>
      </c>
      <c r="E89" s="204" t="s">
        <v>855</v>
      </c>
      <c r="F89" s="43" t="s">
        <v>856</v>
      </c>
      <c r="G89" s="221" t="s">
        <v>835</v>
      </c>
      <c r="H89" s="43" t="s">
        <v>857</v>
      </c>
      <c r="I89" s="123" t="s">
        <v>858</v>
      </c>
      <c r="J89" s="123" t="s">
        <v>859</v>
      </c>
      <c r="K89" s="123">
        <v>93.1</v>
      </c>
      <c r="L89" s="157">
        <v>166.1</v>
      </c>
      <c r="M89" s="157">
        <v>5.8</v>
      </c>
      <c r="N89" s="190">
        <v>15000</v>
      </c>
      <c r="O89" s="190">
        <v>20000</v>
      </c>
      <c r="P89" s="190">
        <v>25000</v>
      </c>
      <c r="Q89" s="190">
        <v>35000</v>
      </c>
      <c r="R89" s="190" t="s">
        <v>110</v>
      </c>
      <c r="S89" s="190" t="s">
        <v>39</v>
      </c>
      <c r="T89" s="190" t="s">
        <v>860</v>
      </c>
      <c r="U89" s="190" t="s">
        <v>861</v>
      </c>
      <c r="V89" s="123" t="s">
        <v>862</v>
      </c>
      <c r="W89" s="43" t="s">
        <v>863</v>
      </c>
      <c r="X89" s="43" t="s">
        <v>402</v>
      </c>
    </row>
    <row r="90" s="167" customFormat="1" ht="25" customHeight="1" spans="1:24">
      <c r="A90" s="222"/>
      <c r="B90" s="222"/>
      <c r="C90" s="222"/>
      <c r="D90" s="222"/>
      <c r="E90" s="222"/>
      <c r="F90" s="222"/>
      <c r="G90" s="222"/>
      <c r="H90" s="222"/>
      <c r="I90" s="223"/>
      <c r="J90" s="223" t="s">
        <v>864</v>
      </c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</row>
    <row r="91" s="3" customFormat="1" ht="50" customHeight="1" spans="1:24">
      <c r="A91" s="224">
        <v>77</v>
      </c>
      <c r="B91" s="218"/>
      <c r="C91" s="225" t="str">
        <f>_xlfn.DISPIMG("ID_6DDB3F0B8C864F73A8C54F8BBC2991AA",1)</f>
        <v>=DISPIMG("ID_6DDB3F0B8C864F73A8C54F8BBC2991AA",1)</v>
      </c>
      <c r="D91" s="226" t="s">
        <v>865</v>
      </c>
      <c r="E91" s="182" t="s">
        <v>866</v>
      </c>
      <c r="F91" s="49">
        <v>117893265</v>
      </c>
      <c r="G91" s="183" t="s">
        <v>867</v>
      </c>
      <c r="H91" s="49" t="s">
        <v>868</v>
      </c>
      <c r="I91" s="112" t="s">
        <v>869</v>
      </c>
      <c r="J91" s="112" t="s">
        <v>870</v>
      </c>
      <c r="K91" s="112">
        <v>554.4</v>
      </c>
      <c r="L91" s="184">
        <v>36</v>
      </c>
      <c r="M91" s="184">
        <v>1.8</v>
      </c>
      <c r="N91" s="156">
        <v>75000</v>
      </c>
      <c r="O91" s="156">
        <v>85000</v>
      </c>
      <c r="P91" s="156">
        <v>95000</v>
      </c>
      <c r="Q91" s="156">
        <v>125000</v>
      </c>
      <c r="R91" s="185" t="s">
        <v>110</v>
      </c>
      <c r="S91" s="156">
        <v>85000</v>
      </c>
      <c r="T91" s="185" t="s">
        <v>871</v>
      </c>
      <c r="U91" s="185" t="s">
        <v>872</v>
      </c>
      <c r="V91" s="112" t="s">
        <v>873</v>
      </c>
      <c r="W91" s="49" t="s">
        <v>874</v>
      </c>
      <c r="X91" s="49" t="s">
        <v>43</v>
      </c>
    </row>
    <row r="92" s="3" customFormat="1" ht="50" customHeight="1" spans="1:24">
      <c r="A92" s="186">
        <v>78</v>
      </c>
      <c r="B92" s="187" t="s">
        <v>90</v>
      </c>
      <c r="C92" s="217" t="str">
        <f>_xlfn.DISPIMG("ID_B04708EBD51D47E89C0F5A8CA1C42320",1)</f>
        <v>=DISPIMG("ID_B04708EBD51D47E89C0F5A8CA1C42320",1)</v>
      </c>
      <c r="D92" s="21" t="s">
        <v>875</v>
      </c>
      <c r="E92" s="227" t="s">
        <v>876</v>
      </c>
      <c r="F92" s="13" t="s">
        <v>877</v>
      </c>
      <c r="G92" s="228" t="s">
        <v>878</v>
      </c>
      <c r="H92" s="13" t="s">
        <v>879</v>
      </c>
      <c r="I92" s="17" t="s">
        <v>880</v>
      </c>
      <c r="J92" s="17" t="s">
        <v>881</v>
      </c>
      <c r="K92" s="17">
        <v>76.3</v>
      </c>
      <c r="L92" s="27">
        <v>187.5</v>
      </c>
      <c r="M92" s="27">
        <v>6.4</v>
      </c>
      <c r="N92" s="19">
        <v>15000</v>
      </c>
      <c r="O92" s="19">
        <v>25000</v>
      </c>
      <c r="P92" s="19">
        <v>29000</v>
      </c>
      <c r="Q92" s="19">
        <v>39000</v>
      </c>
      <c r="R92" s="26" t="s">
        <v>110</v>
      </c>
      <c r="S92" s="19" t="s">
        <v>39</v>
      </c>
      <c r="T92" s="26" t="s">
        <v>882</v>
      </c>
      <c r="U92" s="26" t="s">
        <v>883</v>
      </c>
      <c r="V92" s="17" t="s">
        <v>884</v>
      </c>
      <c r="W92" s="13" t="s">
        <v>885</v>
      </c>
      <c r="X92" s="13" t="s">
        <v>886</v>
      </c>
    </row>
    <row r="93" s="3" customFormat="1" ht="50" customHeight="1" spans="1:24">
      <c r="A93" s="224">
        <v>79</v>
      </c>
      <c r="B93" s="218"/>
      <c r="C93" s="225" t="str">
        <f>_xlfn.DISPIMG("ID_297283D20B12454EBBC647E91C93E809",1)</f>
        <v>=DISPIMG("ID_297283D20B12454EBBC647E91C93E809",1)</v>
      </c>
      <c r="D93" s="226" t="s">
        <v>887</v>
      </c>
      <c r="E93" s="182" t="s">
        <v>888</v>
      </c>
      <c r="F93" s="49" t="s">
        <v>889</v>
      </c>
      <c r="G93" s="183" t="s">
        <v>890</v>
      </c>
      <c r="H93" s="49" t="s">
        <v>891</v>
      </c>
      <c r="I93" s="112" t="s">
        <v>892</v>
      </c>
      <c r="J93" s="112" t="s">
        <v>893</v>
      </c>
      <c r="K93" s="112">
        <v>318.3</v>
      </c>
      <c r="L93" s="184">
        <v>492.3</v>
      </c>
      <c r="M93" s="184">
        <v>17.9</v>
      </c>
      <c r="N93" s="156">
        <v>38000</v>
      </c>
      <c r="O93" s="156">
        <v>60000</v>
      </c>
      <c r="P93" s="156">
        <v>75000</v>
      </c>
      <c r="Q93" s="156">
        <v>85000</v>
      </c>
      <c r="R93" s="185" t="s">
        <v>110</v>
      </c>
      <c r="S93" s="156">
        <v>60000</v>
      </c>
      <c r="T93" s="185" t="s">
        <v>894</v>
      </c>
      <c r="U93" s="185" t="s">
        <v>895</v>
      </c>
      <c r="V93" s="112" t="s">
        <v>896</v>
      </c>
      <c r="W93" s="49" t="s">
        <v>897</v>
      </c>
      <c r="X93" s="49" t="s">
        <v>43</v>
      </c>
    </row>
    <row r="94" s="3" customFormat="1" ht="50" customHeight="1" spans="1:24">
      <c r="A94" s="186">
        <v>80</v>
      </c>
      <c r="B94" s="187" t="s">
        <v>90</v>
      </c>
      <c r="C94" s="217" t="str">
        <f>_xlfn.DISPIMG("ID_8F6E789AFED045BC8BD281E8D1E2E449",1)</f>
        <v>=DISPIMG("ID_8F6E789AFED045BC8BD281E8D1E2E449",1)</v>
      </c>
      <c r="D94" s="21" t="s">
        <v>898</v>
      </c>
      <c r="E94" s="227" t="s">
        <v>899</v>
      </c>
      <c r="F94" s="13" t="s">
        <v>900</v>
      </c>
      <c r="G94" s="228" t="s">
        <v>59</v>
      </c>
      <c r="H94" s="13" t="s">
        <v>901</v>
      </c>
      <c r="I94" s="17" t="s">
        <v>902</v>
      </c>
      <c r="J94" s="286" t="s">
        <v>903</v>
      </c>
      <c r="K94" s="17">
        <v>326</v>
      </c>
      <c r="L94" s="27">
        <v>19.2</v>
      </c>
      <c r="M94" s="27">
        <v>0.6</v>
      </c>
      <c r="N94" s="19">
        <v>45000</v>
      </c>
      <c r="O94" s="19">
        <v>55000</v>
      </c>
      <c r="P94" s="19">
        <v>65000</v>
      </c>
      <c r="Q94" s="19" t="s">
        <v>39</v>
      </c>
      <c r="R94" s="26" t="s">
        <v>143</v>
      </c>
      <c r="S94" s="19">
        <v>35000</v>
      </c>
      <c r="T94" s="26" t="s">
        <v>904</v>
      </c>
      <c r="U94" s="26" t="s">
        <v>905</v>
      </c>
      <c r="V94" s="17" t="s">
        <v>906</v>
      </c>
      <c r="W94" s="13" t="s">
        <v>907</v>
      </c>
      <c r="X94" s="13" t="s">
        <v>413</v>
      </c>
    </row>
    <row r="95" s="3" customFormat="1" ht="50" customHeight="1" spans="1:24">
      <c r="A95" s="224">
        <v>81</v>
      </c>
      <c r="B95" s="218"/>
      <c r="C95" s="225" t="str">
        <f>_xlfn.DISPIMG("ID_58F2FCD39BC540128C7BEAE2A0928024",1)</f>
        <v>=DISPIMG("ID_58F2FCD39BC540128C7BEAE2A0928024",1)</v>
      </c>
      <c r="D95" s="226" t="s">
        <v>908</v>
      </c>
      <c r="E95" s="182" t="s">
        <v>909</v>
      </c>
      <c r="F95" s="49" t="s">
        <v>910</v>
      </c>
      <c r="G95" s="183" t="s">
        <v>59</v>
      </c>
      <c r="H95" s="49" t="s">
        <v>911</v>
      </c>
      <c r="I95" s="112" t="s">
        <v>912</v>
      </c>
      <c r="J95" s="284" t="s">
        <v>913</v>
      </c>
      <c r="K95" s="112">
        <v>191.3</v>
      </c>
      <c r="L95" s="184">
        <v>63.7</v>
      </c>
      <c r="M95" s="184">
        <v>3.1</v>
      </c>
      <c r="N95" s="156">
        <v>60000</v>
      </c>
      <c r="O95" s="156">
        <v>70000</v>
      </c>
      <c r="P95" s="156">
        <v>70000</v>
      </c>
      <c r="Q95" s="156">
        <v>80000</v>
      </c>
      <c r="R95" s="185" t="s">
        <v>914</v>
      </c>
      <c r="S95" s="156" t="s">
        <v>39</v>
      </c>
      <c r="T95" s="185" t="s">
        <v>915</v>
      </c>
      <c r="U95" s="185" t="s">
        <v>916</v>
      </c>
      <c r="V95" s="112" t="s">
        <v>917</v>
      </c>
      <c r="W95" s="49" t="s">
        <v>918</v>
      </c>
      <c r="X95" s="49" t="s">
        <v>43</v>
      </c>
    </row>
    <row r="96" s="3" customFormat="1" ht="50" customHeight="1" spans="1:24">
      <c r="A96" s="186">
        <v>82</v>
      </c>
      <c r="B96" s="217"/>
      <c r="C96" s="24" t="str">
        <f>_xlfn.DISPIMG("ID_612738D3F3D7428DA6E4E321C90CFF9C",1)</f>
        <v>=DISPIMG("ID_612738D3F3D7428DA6E4E321C90CFF9C",1)</v>
      </c>
      <c r="D96" s="21" t="s">
        <v>919</v>
      </c>
      <c r="E96" s="189" t="s">
        <v>920</v>
      </c>
      <c r="F96" s="43" t="s">
        <v>921</v>
      </c>
      <c r="G96" s="43" t="s">
        <v>59</v>
      </c>
      <c r="H96" s="43" t="s">
        <v>922</v>
      </c>
      <c r="I96" s="123" t="s">
        <v>923</v>
      </c>
      <c r="J96" s="123" t="s">
        <v>924</v>
      </c>
      <c r="K96" s="123">
        <v>189.5</v>
      </c>
      <c r="L96" s="157">
        <v>112.3</v>
      </c>
      <c r="M96" s="157">
        <v>4.1</v>
      </c>
      <c r="N96" s="190">
        <v>28000</v>
      </c>
      <c r="O96" s="190">
        <v>30000</v>
      </c>
      <c r="P96" s="190">
        <v>40000</v>
      </c>
      <c r="Q96" s="190">
        <v>50000</v>
      </c>
      <c r="R96" s="190" t="s">
        <v>110</v>
      </c>
      <c r="S96" s="190" t="s">
        <v>39</v>
      </c>
      <c r="T96" s="190" t="s">
        <v>925</v>
      </c>
      <c r="U96" s="190" t="s">
        <v>926</v>
      </c>
      <c r="V96" s="123" t="s">
        <v>927</v>
      </c>
      <c r="W96" s="43" t="s">
        <v>928</v>
      </c>
      <c r="X96" s="43" t="s">
        <v>43</v>
      </c>
    </row>
    <row r="97" s="3" customFormat="1" ht="50" customHeight="1" spans="1:24">
      <c r="A97" s="180">
        <v>83</v>
      </c>
      <c r="B97" s="211"/>
      <c r="C97" s="181" t="str">
        <f>_xlfn.DISPIMG("ID_4F316C459DC54E2496697C253DDA406C",1)</f>
        <v>=DISPIMG("ID_4F316C459DC54E2496697C253DDA406C",1)</v>
      </c>
      <c r="D97" s="46" t="s">
        <v>929</v>
      </c>
      <c r="E97" s="182" t="s">
        <v>930</v>
      </c>
      <c r="F97" s="49" t="s">
        <v>931</v>
      </c>
      <c r="G97" s="183" t="s">
        <v>932</v>
      </c>
      <c r="H97" s="49" t="s">
        <v>933</v>
      </c>
      <c r="I97" s="112" t="s">
        <v>934</v>
      </c>
      <c r="J97" s="112" t="s">
        <v>935</v>
      </c>
      <c r="K97" s="112">
        <v>65.4</v>
      </c>
      <c r="L97" s="184">
        <v>141.9</v>
      </c>
      <c r="M97" s="184">
        <v>2.6</v>
      </c>
      <c r="N97" s="156">
        <v>25300</v>
      </c>
      <c r="O97" s="156">
        <v>33600</v>
      </c>
      <c r="P97" s="156">
        <v>40000</v>
      </c>
      <c r="Q97" s="156">
        <v>50000</v>
      </c>
      <c r="R97" s="185" t="s">
        <v>785</v>
      </c>
      <c r="S97" s="156" t="s">
        <v>39</v>
      </c>
      <c r="T97" s="185" t="s">
        <v>936</v>
      </c>
      <c r="U97" s="185" t="s">
        <v>937</v>
      </c>
      <c r="V97" s="112" t="s">
        <v>938</v>
      </c>
      <c r="W97" s="49" t="s">
        <v>939</v>
      </c>
      <c r="X97" s="49" t="s">
        <v>843</v>
      </c>
    </row>
    <row r="98" s="3" customFormat="1" ht="50" customHeight="1" spans="1:24">
      <c r="A98" s="186">
        <v>84</v>
      </c>
      <c r="B98" s="217"/>
      <c r="C98" s="24" t="str">
        <f>_xlfn.DISPIMG("ID_3590528A77D7476FB7E6DFF756D262DE",1)</f>
        <v>=DISPIMG("ID_3590528A77D7476FB7E6DFF756D262DE",1)</v>
      </c>
      <c r="D98" s="21" t="s">
        <v>940</v>
      </c>
      <c r="E98" s="189" t="s">
        <v>941</v>
      </c>
      <c r="F98" s="43">
        <v>83826297424</v>
      </c>
      <c r="G98" s="43" t="s">
        <v>932</v>
      </c>
      <c r="H98" s="43" t="s">
        <v>942</v>
      </c>
      <c r="I98" s="123" t="s">
        <v>943</v>
      </c>
      <c r="J98" s="285" t="s">
        <v>944</v>
      </c>
      <c r="K98" s="123">
        <v>30.1</v>
      </c>
      <c r="L98" s="157">
        <v>34.2</v>
      </c>
      <c r="M98" s="157">
        <v>0.5</v>
      </c>
      <c r="N98" s="190">
        <v>6000</v>
      </c>
      <c r="O98" s="190">
        <v>10000</v>
      </c>
      <c r="P98" s="190">
        <v>12000</v>
      </c>
      <c r="Q98" s="190" t="s">
        <v>39</v>
      </c>
      <c r="R98" s="190" t="s">
        <v>945</v>
      </c>
      <c r="S98" s="190" t="s">
        <v>39</v>
      </c>
      <c r="T98" s="190" t="s">
        <v>946</v>
      </c>
      <c r="U98" s="190" t="s">
        <v>947</v>
      </c>
      <c r="V98" s="123" t="s">
        <v>948</v>
      </c>
      <c r="W98" s="43" t="s">
        <v>39</v>
      </c>
      <c r="X98" s="43" t="s">
        <v>413</v>
      </c>
    </row>
    <row r="99" s="3" customFormat="1" ht="50" customHeight="1" spans="1:24">
      <c r="A99" s="180">
        <v>85</v>
      </c>
      <c r="B99" s="211"/>
      <c r="C99" s="181" t="str">
        <f>_xlfn.DISPIMG("ID_7E536C157BFD4F9ABED710D9123262B6",1)</f>
        <v>=DISPIMG("ID_7E536C157BFD4F9ABED710D9123262B6",1)</v>
      </c>
      <c r="D99" s="46" t="s">
        <v>949</v>
      </c>
      <c r="E99" s="182" t="s">
        <v>950</v>
      </c>
      <c r="F99" s="49" t="s">
        <v>951</v>
      </c>
      <c r="G99" s="183" t="s">
        <v>619</v>
      </c>
      <c r="H99" s="49" t="s">
        <v>952</v>
      </c>
      <c r="I99" s="112" t="s">
        <v>953</v>
      </c>
      <c r="J99" s="112" t="s">
        <v>954</v>
      </c>
      <c r="K99" s="112">
        <v>47.1</v>
      </c>
      <c r="L99" s="184" t="s">
        <v>39</v>
      </c>
      <c r="M99" s="184">
        <v>21.1</v>
      </c>
      <c r="N99" s="156">
        <v>32000</v>
      </c>
      <c r="O99" s="156">
        <v>36000</v>
      </c>
      <c r="P99" s="156">
        <v>45000</v>
      </c>
      <c r="Q99" s="156">
        <v>55000</v>
      </c>
      <c r="R99" s="185" t="s">
        <v>110</v>
      </c>
      <c r="S99" s="156" t="s">
        <v>39</v>
      </c>
      <c r="T99" s="185" t="s">
        <v>955</v>
      </c>
      <c r="U99" s="185" t="s">
        <v>956</v>
      </c>
      <c r="V99" s="112" t="s">
        <v>957</v>
      </c>
      <c r="W99" s="49" t="s">
        <v>958</v>
      </c>
      <c r="X99" s="49" t="s">
        <v>43</v>
      </c>
    </row>
    <row r="100" s="3" customFormat="1" ht="50" customHeight="1" spans="1:24">
      <c r="A100" s="186">
        <v>86</v>
      </c>
      <c r="B100" s="217"/>
      <c r="C100" s="24" t="str">
        <f>_xlfn.DISPIMG("ID_AE9EE02D9381402A8221747B347CE141",1)</f>
        <v>=DISPIMG("ID_AE9EE02D9381402A8221747B347CE141",1)</v>
      </c>
      <c r="D100" s="21" t="s">
        <v>959</v>
      </c>
      <c r="E100" s="189" t="s">
        <v>960</v>
      </c>
      <c r="F100" s="43" t="s">
        <v>961</v>
      </c>
      <c r="G100" s="43" t="s">
        <v>962</v>
      </c>
      <c r="H100" s="43" t="s">
        <v>963</v>
      </c>
      <c r="I100" s="123" t="s">
        <v>964</v>
      </c>
      <c r="J100" s="123" t="s">
        <v>965</v>
      </c>
      <c r="K100" s="123">
        <v>66.8</v>
      </c>
      <c r="L100" s="157">
        <v>249.3</v>
      </c>
      <c r="M100" s="157">
        <v>4.5</v>
      </c>
      <c r="N100" s="190">
        <v>25000</v>
      </c>
      <c r="O100" s="190">
        <v>30000</v>
      </c>
      <c r="P100" s="190">
        <v>50000</v>
      </c>
      <c r="Q100" s="190">
        <v>60000</v>
      </c>
      <c r="R100" s="190" t="s">
        <v>110</v>
      </c>
      <c r="S100" s="190" t="s">
        <v>39</v>
      </c>
      <c r="T100" s="190" t="s">
        <v>966</v>
      </c>
      <c r="U100" s="190" t="s">
        <v>967</v>
      </c>
      <c r="V100" s="123" t="s">
        <v>968</v>
      </c>
      <c r="W100" s="43" t="s">
        <v>969</v>
      </c>
      <c r="X100" s="43" t="s">
        <v>43</v>
      </c>
    </row>
    <row r="101" s="3" customFormat="1" ht="50" customHeight="1" spans="1:24">
      <c r="A101" s="180">
        <v>87</v>
      </c>
      <c r="B101" s="211"/>
      <c r="C101" s="181" t="str">
        <f>_xlfn.DISPIMG("ID_830D7BF9822C4C5DA11066C440555B66",1)</f>
        <v>=DISPIMG("ID_830D7BF9822C4C5DA11066C440555B66",1)</v>
      </c>
      <c r="D101" s="46" t="s">
        <v>970</v>
      </c>
      <c r="E101" s="182" t="s">
        <v>971</v>
      </c>
      <c r="F101" s="49" t="s">
        <v>972</v>
      </c>
      <c r="G101" s="183" t="s">
        <v>973</v>
      </c>
      <c r="H101" s="49" t="s">
        <v>974</v>
      </c>
      <c r="I101" s="112" t="s">
        <v>975</v>
      </c>
      <c r="J101" s="112" t="s">
        <v>976</v>
      </c>
      <c r="K101" s="112">
        <v>51.5</v>
      </c>
      <c r="L101" s="184">
        <v>78.3</v>
      </c>
      <c r="M101" s="184">
        <v>3.9</v>
      </c>
      <c r="N101" s="156">
        <v>12000</v>
      </c>
      <c r="O101" s="156">
        <v>13000</v>
      </c>
      <c r="P101" s="156">
        <v>18000</v>
      </c>
      <c r="Q101" s="156">
        <v>28000</v>
      </c>
      <c r="R101" s="185" t="s">
        <v>110</v>
      </c>
      <c r="S101" s="156">
        <v>13000</v>
      </c>
      <c r="T101" s="185" t="s">
        <v>977</v>
      </c>
      <c r="U101" s="185" t="s">
        <v>978</v>
      </c>
      <c r="V101" s="112" t="s">
        <v>979</v>
      </c>
      <c r="W101" s="49" t="s">
        <v>980</v>
      </c>
      <c r="X101" s="49" t="s">
        <v>43</v>
      </c>
    </row>
    <row r="102" s="3" customFormat="1" ht="50" customHeight="1" spans="1:24">
      <c r="A102" s="186">
        <v>88</v>
      </c>
      <c r="B102" s="217"/>
      <c r="C102" s="24" t="str">
        <f>_xlfn.DISPIMG("ID_7B85263DD4C34EB09E8EAAB6FD778BC0",1)</f>
        <v>=DISPIMG("ID_7B85263DD4C34EB09E8EAAB6FD778BC0",1)</v>
      </c>
      <c r="D102" s="21" t="s">
        <v>981</v>
      </c>
      <c r="E102" s="189" t="s">
        <v>982</v>
      </c>
      <c r="F102" s="43" t="s">
        <v>983</v>
      </c>
      <c r="G102" s="43" t="s">
        <v>984</v>
      </c>
      <c r="H102" s="43" t="s">
        <v>985</v>
      </c>
      <c r="I102" s="123" t="s">
        <v>986</v>
      </c>
      <c r="J102" s="123" t="s">
        <v>987</v>
      </c>
      <c r="K102" s="123">
        <v>40</v>
      </c>
      <c r="L102" s="157" t="s">
        <v>39</v>
      </c>
      <c r="M102" s="157">
        <v>16.1</v>
      </c>
      <c r="N102" s="190">
        <v>22000</v>
      </c>
      <c r="O102" s="190">
        <v>25000</v>
      </c>
      <c r="P102" s="190">
        <v>28000</v>
      </c>
      <c r="Q102" s="190">
        <v>38000</v>
      </c>
      <c r="R102" s="190" t="s">
        <v>110</v>
      </c>
      <c r="S102" s="190" t="s">
        <v>39</v>
      </c>
      <c r="T102" s="190" t="s">
        <v>988</v>
      </c>
      <c r="U102" s="190" t="s">
        <v>989</v>
      </c>
      <c r="V102" s="123" t="s">
        <v>990</v>
      </c>
      <c r="W102" s="43" t="s">
        <v>991</v>
      </c>
      <c r="X102" s="43" t="s">
        <v>43</v>
      </c>
    </row>
    <row r="103" s="3" customFormat="1" ht="50" customHeight="1" spans="1:24">
      <c r="A103" s="180">
        <v>89</v>
      </c>
      <c r="B103" s="211"/>
      <c r="C103" s="181" t="str">
        <f>_xlfn.DISPIMG("ID_1854D7164B524CD2A6F27AFCD5B8ADB0",1)</f>
        <v>=DISPIMG("ID_1854D7164B524CD2A6F27AFCD5B8ADB0",1)</v>
      </c>
      <c r="D103" s="46" t="s">
        <v>992</v>
      </c>
      <c r="E103" s="182" t="s">
        <v>993</v>
      </c>
      <c r="F103" s="49">
        <v>1580309688</v>
      </c>
      <c r="G103" s="183" t="s">
        <v>994</v>
      </c>
      <c r="H103" s="49" t="s">
        <v>995</v>
      </c>
      <c r="I103" s="112" t="s">
        <v>996</v>
      </c>
      <c r="J103" s="112" t="s">
        <v>997</v>
      </c>
      <c r="K103" s="112">
        <v>33.2</v>
      </c>
      <c r="L103" s="184" t="s">
        <v>39</v>
      </c>
      <c r="M103" s="184">
        <v>26.9</v>
      </c>
      <c r="N103" s="156">
        <v>15000</v>
      </c>
      <c r="O103" s="156">
        <v>18000</v>
      </c>
      <c r="P103" s="156">
        <v>20000</v>
      </c>
      <c r="Q103" s="156">
        <v>30000</v>
      </c>
      <c r="R103" s="185" t="s">
        <v>110</v>
      </c>
      <c r="S103" s="156" t="s">
        <v>39</v>
      </c>
      <c r="T103" s="185" t="s">
        <v>998</v>
      </c>
      <c r="U103" s="185" t="s">
        <v>999</v>
      </c>
      <c r="V103" s="112" t="s">
        <v>1000</v>
      </c>
      <c r="W103" s="49" t="s">
        <v>1001</v>
      </c>
      <c r="X103" s="49" t="s">
        <v>402</v>
      </c>
    </row>
    <row r="104" s="3" customFormat="1" ht="50" customHeight="1" spans="1:24">
      <c r="A104" s="186">
        <v>90</v>
      </c>
      <c r="B104" s="217"/>
      <c r="C104" s="24" t="str">
        <f>_xlfn.DISPIMG("ID_50033B3D41304000BA5BCCBE8CDA6F9D",1)</f>
        <v>=DISPIMG("ID_50033B3D41304000BA5BCCBE8CDA6F9D",1)</v>
      </c>
      <c r="D104" s="21" t="s">
        <v>1002</v>
      </c>
      <c r="E104" s="189" t="s">
        <v>1003</v>
      </c>
      <c r="F104" s="43">
        <v>62371145628</v>
      </c>
      <c r="G104" s="43" t="s">
        <v>1004</v>
      </c>
      <c r="H104" s="43" t="s">
        <v>1005</v>
      </c>
      <c r="I104" s="123" t="s">
        <v>1006</v>
      </c>
      <c r="J104" s="123" t="s">
        <v>1007</v>
      </c>
      <c r="K104" s="123">
        <v>11.8</v>
      </c>
      <c r="L104" s="157">
        <v>142</v>
      </c>
      <c r="M104" s="157">
        <v>4</v>
      </c>
      <c r="N104" s="190">
        <v>10000</v>
      </c>
      <c r="O104" s="190">
        <v>12000</v>
      </c>
      <c r="P104" s="190">
        <v>12000</v>
      </c>
      <c r="Q104" s="190">
        <v>22000</v>
      </c>
      <c r="R104" s="190" t="s">
        <v>39</v>
      </c>
      <c r="S104" s="190" t="s">
        <v>39</v>
      </c>
      <c r="T104" s="190" t="s">
        <v>1008</v>
      </c>
      <c r="U104" s="190" t="s">
        <v>1009</v>
      </c>
      <c r="V104" s="123" t="s">
        <v>1010</v>
      </c>
      <c r="W104" s="43" t="s">
        <v>1011</v>
      </c>
      <c r="X104" s="43" t="s">
        <v>43</v>
      </c>
    </row>
    <row r="105" s="165" customFormat="1" ht="25" customHeight="1" spans="1:24">
      <c r="A105" s="229"/>
      <c r="B105" s="229"/>
      <c r="C105" s="229"/>
      <c r="D105" s="229"/>
      <c r="E105" s="229"/>
      <c r="F105" s="229"/>
      <c r="G105" s="229"/>
      <c r="H105" s="229"/>
      <c r="I105" s="230"/>
      <c r="J105" s="230" t="s">
        <v>1012</v>
      </c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31"/>
      <c r="X105" s="231"/>
    </row>
    <row r="106" s="3" customFormat="1" ht="50" customHeight="1" spans="1:24">
      <c r="A106" s="180">
        <v>91</v>
      </c>
      <c r="B106" s="218" t="s">
        <v>148</v>
      </c>
      <c r="C106" s="181" t="str">
        <f>_xlfn.DISPIMG("ID_35BFC68506EF43D0A564EDF289FF4152",1)</f>
        <v>=DISPIMG("ID_35BFC68506EF43D0A564EDF289FF4152",1)</v>
      </c>
      <c r="D106" s="46" t="s">
        <v>1013</v>
      </c>
      <c r="E106" s="182" t="s">
        <v>1014</v>
      </c>
      <c r="F106" s="49">
        <v>76006290733</v>
      </c>
      <c r="G106" s="183" t="s">
        <v>1015</v>
      </c>
      <c r="H106" s="49" t="s">
        <v>1016</v>
      </c>
      <c r="I106" s="112" t="s">
        <v>1017</v>
      </c>
      <c r="J106" s="284" t="s">
        <v>1018</v>
      </c>
      <c r="K106" s="112">
        <v>46.8</v>
      </c>
      <c r="L106" s="184" t="s">
        <v>39</v>
      </c>
      <c r="M106" s="184" t="s">
        <v>39</v>
      </c>
      <c r="N106" s="156">
        <v>18000</v>
      </c>
      <c r="O106" s="156">
        <v>20000</v>
      </c>
      <c r="P106" s="156">
        <v>22000</v>
      </c>
      <c r="Q106" s="156" t="s">
        <v>39</v>
      </c>
      <c r="R106" s="185" t="s">
        <v>143</v>
      </c>
      <c r="S106" s="156" t="s">
        <v>39</v>
      </c>
      <c r="T106" s="185" t="s">
        <v>39</v>
      </c>
      <c r="U106" s="185" t="s">
        <v>39</v>
      </c>
      <c r="V106" s="112" t="s">
        <v>39</v>
      </c>
      <c r="W106" s="49" t="s">
        <v>39</v>
      </c>
      <c r="X106" s="49" t="s">
        <v>1019</v>
      </c>
    </row>
    <row r="107" s="165" customFormat="1" ht="25" customHeight="1" spans="1:24">
      <c r="A107" s="232"/>
      <c r="B107" s="232"/>
      <c r="C107" s="232"/>
      <c r="D107" s="232"/>
      <c r="E107" s="232"/>
      <c r="F107" s="232"/>
      <c r="G107" s="232"/>
      <c r="H107" s="232"/>
      <c r="I107" s="233"/>
      <c r="J107" s="233" t="s">
        <v>1020</v>
      </c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4"/>
      <c r="X107" s="234"/>
    </row>
    <row r="108" s="3" customFormat="1" ht="50" customHeight="1" spans="1:24">
      <c r="A108" s="180">
        <v>92</v>
      </c>
      <c r="B108" s="211"/>
      <c r="C108" s="181" t="str">
        <f>_xlfn.DISPIMG("ID_AB48B69CFF0E4D1489CF29B96309937F",1)</f>
        <v>=DISPIMG("ID_AB48B69CFF0E4D1489CF29B96309937F",1)</v>
      </c>
      <c r="D108" s="46" t="s">
        <v>1021</v>
      </c>
      <c r="E108" s="182" t="s">
        <v>1022</v>
      </c>
      <c r="F108" s="49" t="s">
        <v>1023</v>
      </c>
      <c r="G108" s="183" t="s">
        <v>1024</v>
      </c>
      <c r="H108" s="49" t="s">
        <v>1025</v>
      </c>
      <c r="I108" s="112" t="s">
        <v>1026</v>
      </c>
      <c r="J108" s="112" t="s">
        <v>1027</v>
      </c>
      <c r="K108" s="112">
        <v>306.8</v>
      </c>
      <c r="L108" s="184">
        <v>128.6</v>
      </c>
      <c r="M108" s="184">
        <v>3.8</v>
      </c>
      <c r="N108" s="156">
        <v>42000</v>
      </c>
      <c r="O108" s="156">
        <v>48000</v>
      </c>
      <c r="P108" s="156">
        <v>58000</v>
      </c>
      <c r="Q108" s="156">
        <v>65000</v>
      </c>
      <c r="R108" s="185" t="s">
        <v>110</v>
      </c>
      <c r="S108" s="156">
        <v>48000</v>
      </c>
      <c r="T108" s="185" t="s">
        <v>1028</v>
      </c>
      <c r="U108" s="185" t="s">
        <v>1029</v>
      </c>
      <c r="V108" s="112" t="s">
        <v>1030</v>
      </c>
      <c r="W108" s="49" t="s">
        <v>1031</v>
      </c>
      <c r="X108" s="49" t="s">
        <v>43</v>
      </c>
    </row>
    <row r="109" s="1" customFormat="1" ht="50" customHeight="1" spans="1:24">
      <c r="A109" s="186">
        <v>93</v>
      </c>
      <c r="B109" s="235"/>
      <c r="C109" s="24" t="str">
        <f>_xlfn.DISPIMG("ID_CACEF98067B14CC18678F828EB22CA1B",1)</f>
        <v>=DISPIMG("ID_CACEF98067B14CC18678F828EB22CA1B",1)</v>
      </c>
      <c r="D109" s="21" t="s">
        <v>1032</v>
      </c>
      <c r="E109" s="227" t="s">
        <v>1033</v>
      </c>
      <c r="F109" s="13" t="s">
        <v>1034</v>
      </c>
      <c r="G109" s="13" t="s">
        <v>1035</v>
      </c>
      <c r="H109" s="13" t="s">
        <v>1036</v>
      </c>
      <c r="I109" s="17" t="s">
        <v>1037</v>
      </c>
      <c r="J109" s="286" t="s">
        <v>1038</v>
      </c>
      <c r="K109" s="17">
        <v>93.5</v>
      </c>
      <c r="L109" s="27">
        <v>26.3</v>
      </c>
      <c r="M109" s="27">
        <v>0.4</v>
      </c>
      <c r="N109" s="26">
        <v>8000</v>
      </c>
      <c r="O109" s="26">
        <v>10000</v>
      </c>
      <c r="P109" s="26">
        <v>13000</v>
      </c>
      <c r="Q109" s="26" t="s">
        <v>39</v>
      </c>
      <c r="R109" s="26" t="s">
        <v>366</v>
      </c>
      <c r="S109" s="26" t="s">
        <v>39</v>
      </c>
      <c r="T109" s="26" t="s">
        <v>1039</v>
      </c>
      <c r="U109" s="26" t="s">
        <v>1040</v>
      </c>
      <c r="V109" s="17" t="s">
        <v>1041</v>
      </c>
      <c r="W109" s="13" t="s">
        <v>1042</v>
      </c>
      <c r="X109" s="13" t="s">
        <v>43</v>
      </c>
    </row>
    <row r="110" s="3" customFormat="1" ht="50" customHeight="1" spans="1:24">
      <c r="A110" s="180">
        <v>94</v>
      </c>
      <c r="B110" s="211"/>
      <c r="C110" s="181" t="str">
        <f>_xlfn.DISPIMG("ID_D8999301ECE74ADC88F016B6B888ED40",1)</f>
        <v>=DISPIMG("ID_D8999301ECE74ADC88F016B6B888ED40",1)</v>
      </c>
      <c r="D110" s="46" t="s">
        <v>1043</v>
      </c>
      <c r="E110" s="182" t="s">
        <v>1044</v>
      </c>
      <c r="F110" s="49" t="s">
        <v>1045</v>
      </c>
      <c r="G110" s="183" t="s">
        <v>1035</v>
      </c>
      <c r="H110" s="49" t="s">
        <v>1046</v>
      </c>
      <c r="I110" s="112" t="s">
        <v>1047</v>
      </c>
      <c r="J110" s="112" t="s">
        <v>1048</v>
      </c>
      <c r="K110" s="112">
        <v>197.5</v>
      </c>
      <c r="L110" s="184">
        <v>16.5</v>
      </c>
      <c r="M110" s="184">
        <v>0.3</v>
      </c>
      <c r="N110" s="156">
        <v>15000</v>
      </c>
      <c r="O110" s="156">
        <v>20000</v>
      </c>
      <c r="P110" s="156">
        <v>26000</v>
      </c>
      <c r="Q110" s="156">
        <v>36000</v>
      </c>
      <c r="R110" s="185" t="s">
        <v>914</v>
      </c>
      <c r="S110" s="156" t="s">
        <v>39</v>
      </c>
      <c r="T110" s="185" t="s">
        <v>1049</v>
      </c>
      <c r="U110" s="185" t="s">
        <v>1050</v>
      </c>
      <c r="V110" s="112" t="s">
        <v>1051</v>
      </c>
      <c r="W110" s="49" t="s">
        <v>1052</v>
      </c>
      <c r="X110" s="49" t="s">
        <v>1053</v>
      </c>
    </row>
    <row r="111" s="3" customFormat="1" ht="50" customHeight="1" spans="1:24">
      <c r="A111" s="186">
        <v>95</v>
      </c>
      <c r="B111" s="235"/>
      <c r="C111" s="217" t="str">
        <f>_xlfn.DISPIMG("ID_BFD3B791873840F7A6BD274172DDF735",1)</f>
        <v>=DISPIMG("ID_BFD3B791873840F7A6BD274172DDF735",1)</v>
      </c>
      <c r="D111" s="21" t="s">
        <v>1054</v>
      </c>
      <c r="E111" s="189" t="s">
        <v>1055</v>
      </c>
      <c r="F111" s="43" t="s">
        <v>1056</v>
      </c>
      <c r="G111" s="43" t="s">
        <v>1057</v>
      </c>
      <c r="H111" s="43" t="s">
        <v>1058</v>
      </c>
      <c r="I111" s="123" t="s">
        <v>1059</v>
      </c>
      <c r="J111" s="123" t="s">
        <v>1060</v>
      </c>
      <c r="K111" s="123">
        <v>121.8</v>
      </c>
      <c r="L111" s="157">
        <v>27.9</v>
      </c>
      <c r="M111" s="157">
        <v>2</v>
      </c>
      <c r="N111" s="190">
        <v>10000</v>
      </c>
      <c r="O111" s="190">
        <v>15000</v>
      </c>
      <c r="P111" s="190">
        <v>25000</v>
      </c>
      <c r="Q111" s="190">
        <v>35000</v>
      </c>
      <c r="R111" s="26" t="s">
        <v>110</v>
      </c>
      <c r="S111" s="190" t="s">
        <v>39</v>
      </c>
      <c r="T111" s="190" t="s">
        <v>1061</v>
      </c>
      <c r="U111" s="190" t="s">
        <v>1062</v>
      </c>
      <c r="V111" s="123" t="s">
        <v>1063</v>
      </c>
      <c r="W111" s="43" t="s">
        <v>1064</v>
      </c>
      <c r="X111" s="43" t="s">
        <v>43</v>
      </c>
    </row>
    <row r="112" s="3" customFormat="1" ht="50" customHeight="1" spans="1:24">
      <c r="A112" s="180">
        <v>96</v>
      </c>
      <c r="B112" s="211"/>
      <c r="C112" s="211" t="str">
        <f>_xlfn.DISPIMG("ID_3E277AB27A7E4DD7B9D5CFDBC903509B",1)</f>
        <v>=DISPIMG("ID_3E277AB27A7E4DD7B9D5CFDBC903509B",1)</v>
      </c>
      <c r="D112" s="46" t="s">
        <v>1065</v>
      </c>
      <c r="E112" s="182" t="s">
        <v>1066</v>
      </c>
      <c r="F112" s="49" t="s">
        <v>1067</v>
      </c>
      <c r="G112" s="183" t="s">
        <v>1035</v>
      </c>
      <c r="H112" s="49" t="s">
        <v>1068</v>
      </c>
      <c r="I112" s="112" t="s">
        <v>1069</v>
      </c>
      <c r="J112" s="112" t="s">
        <v>1070</v>
      </c>
      <c r="K112" s="112">
        <v>205.3</v>
      </c>
      <c r="L112" s="184">
        <v>20.3</v>
      </c>
      <c r="M112" s="184">
        <v>0.9</v>
      </c>
      <c r="N112" s="156">
        <v>18000</v>
      </c>
      <c r="O112" s="156">
        <v>24000</v>
      </c>
      <c r="P112" s="156">
        <v>30000</v>
      </c>
      <c r="Q112" s="156">
        <v>40000</v>
      </c>
      <c r="R112" s="185" t="s">
        <v>110</v>
      </c>
      <c r="S112" s="156" t="s">
        <v>39</v>
      </c>
      <c r="T112" s="185" t="s">
        <v>1071</v>
      </c>
      <c r="U112" s="185" t="s">
        <v>1072</v>
      </c>
      <c r="V112" s="112" t="s">
        <v>1073</v>
      </c>
      <c r="W112" s="49" t="s">
        <v>1074</v>
      </c>
      <c r="X112" s="49" t="s">
        <v>43</v>
      </c>
    </row>
    <row r="113" s="3" customFormat="1" ht="50" customHeight="1" spans="1:24">
      <c r="A113" s="193">
        <v>97</v>
      </c>
      <c r="B113" s="214"/>
      <c r="C113" t="str">
        <f>_xlfn.DISPIMG("ID_6B6583973CE844BDB3AB41AFA4B1C82E",1)</f>
        <v>=DISPIMG("ID_6B6583973CE844BDB3AB41AFA4B1C82E",1)</v>
      </c>
      <c r="D113" s="40" t="s">
        <v>1075</v>
      </c>
      <c r="E113" s="189" t="s">
        <v>1076</v>
      </c>
      <c r="F113" s="43">
        <v>32909938645</v>
      </c>
      <c r="G113" s="43" t="s">
        <v>1057</v>
      </c>
      <c r="H113" s="43" t="s">
        <v>1077</v>
      </c>
      <c r="I113" s="123" t="s">
        <v>1078</v>
      </c>
      <c r="J113" s="123" t="s">
        <v>1079</v>
      </c>
      <c r="K113" s="123">
        <v>108.5</v>
      </c>
      <c r="L113" s="157">
        <v>205.4</v>
      </c>
      <c r="M113" s="157">
        <v>4.2</v>
      </c>
      <c r="N113" s="190">
        <v>12000</v>
      </c>
      <c r="O113" s="190">
        <v>18000</v>
      </c>
      <c r="P113" s="190">
        <v>26000</v>
      </c>
      <c r="Q113" s="190">
        <v>36000</v>
      </c>
      <c r="R113" s="190" t="s">
        <v>110</v>
      </c>
      <c r="S113" s="190" t="s">
        <v>39</v>
      </c>
      <c r="T113" s="190" t="s">
        <v>1080</v>
      </c>
      <c r="U113" s="190" t="s">
        <v>1081</v>
      </c>
      <c r="V113" s="123" t="s">
        <v>1082</v>
      </c>
      <c r="W113" s="43" t="s">
        <v>1083</v>
      </c>
      <c r="X113" s="43" t="s">
        <v>43</v>
      </c>
    </row>
    <row r="114" s="3" customFormat="1" ht="50" customHeight="1" spans="1:24">
      <c r="A114" s="180">
        <v>98</v>
      </c>
      <c r="B114" s="211"/>
      <c r="C114" s="181" t="str">
        <f>_xlfn.DISPIMG("ID_1E3496E9C6C14248A4AB0CED55EB7B22",1)</f>
        <v>=DISPIMG("ID_1E3496E9C6C14248A4AB0CED55EB7B22",1)</v>
      </c>
      <c r="D114" s="46" t="s">
        <v>1084</v>
      </c>
      <c r="E114" s="182" t="s">
        <v>1085</v>
      </c>
      <c r="F114" s="49" t="s">
        <v>1086</v>
      </c>
      <c r="G114" s="183" t="s">
        <v>1057</v>
      </c>
      <c r="H114" s="49" t="s">
        <v>1087</v>
      </c>
      <c r="I114" s="112" t="s">
        <v>1088</v>
      </c>
      <c r="J114" s="112" t="s">
        <v>1089</v>
      </c>
      <c r="K114" s="112">
        <v>28.3</v>
      </c>
      <c r="L114" s="184">
        <v>46.4</v>
      </c>
      <c r="M114" s="184">
        <v>1.6</v>
      </c>
      <c r="N114" s="156">
        <v>6000</v>
      </c>
      <c r="O114" s="156">
        <v>8000</v>
      </c>
      <c r="P114" s="156">
        <v>9500</v>
      </c>
      <c r="Q114" s="156">
        <v>19500</v>
      </c>
      <c r="R114" s="185" t="s">
        <v>110</v>
      </c>
      <c r="S114" s="156" t="s">
        <v>39</v>
      </c>
      <c r="T114" s="185" t="s">
        <v>1090</v>
      </c>
      <c r="U114" s="185" t="s">
        <v>1091</v>
      </c>
      <c r="V114" s="112" t="s">
        <v>1092</v>
      </c>
      <c r="W114" s="49" t="s">
        <v>1093</v>
      </c>
      <c r="X114" s="49" t="s">
        <v>43</v>
      </c>
    </row>
    <row r="115" s="3" customFormat="1" ht="50" customHeight="1" spans="1:24">
      <c r="A115" s="193">
        <v>99</v>
      </c>
      <c r="B115" s="214"/>
      <c r="C115" s="188" t="str">
        <f>_xlfn.DISPIMG("ID_1DD451BE884443BD89AF331DE5850639",1)</f>
        <v>=DISPIMG("ID_1DD451BE884443BD89AF331DE5850639",1)</v>
      </c>
      <c r="D115" s="40" t="s">
        <v>1094</v>
      </c>
      <c r="E115" s="189" t="s">
        <v>1095</v>
      </c>
      <c r="F115" s="43" t="s">
        <v>1096</v>
      </c>
      <c r="G115" s="43" t="s">
        <v>1057</v>
      </c>
      <c r="H115" s="43" t="s">
        <v>1097</v>
      </c>
      <c r="I115" s="123" t="s">
        <v>1098</v>
      </c>
      <c r="J115" s="123" t="s">
        <v>1099</v>
      </c>
      <c r="K115" s="123">
        <v>222.6</v>
      </c>
      <c r="L115" s="157">
        <v>30.1</v>
      </c>
      <c r="M115" s="157">
        <v>0.8</v>
      </c>
      <c r="N115" s="190">
        <v>20000</v>
      </c>
      <c r="O115" s="190">
        <v>28000</v>
      </c>
      <c r="P115" s="190">
        <v>38000</v>
      </c>
      <c r="Q115" s="190">
        <v>48000</v>
      </c>
      <c r="R115" s="190" t="s">
        <v>110</v>
      </c>
      <c r="S115" s="190" t="s">
        <v>39</v>
      </c>
      <c r="T115" s="190" t="s">
        <v>1100</v>
      </c>
      <c r="U115" s="190" t="s">
        <v>1101</v>
      </c>
      <c r="V115" s="123" t="s">
        <v>1102</v>
      </c>
      <c r="W115" s="43" t="s">
        <v>1103</v>
      </c>
      <c r="X115" s="43" t="s">
        <v>43</v>
      </c>
    </row>
    <row r="116" s="1" customFormat="1" ht="50" customHeight="1" spans="1:24">
      <c r="A116" s="236">
        <v>100</v>
      </c>
      <c r="B116" s="237"/>
      <c r="C116" s="238" t="str">
        <f>_xlfn.DISPIMG("ID_AE0FADB7180045B4A3DFEFA8B30AE612",1)</f>
        <v>=DISPIMG("ID_AE0FADB7180045B4A3DFEFA8B30AE612",1)</v>
      </c>
      <c r="D116" s="239" t="s">
        <v>1104</v>
      </c>
      <c r="E116" s="240" t="s">
        <v>1105</v>
      </c>
      <c r="F116" s="150">
        <v>4538698</v>
      </c>
      <c r="G116" s="150" t="s">
        <v>1106</v>
      </c>
      <c r="H116" s="150" t="s">
        <v>1107</v>
      </c>
      <c r="I116" s="147" t="s">
        <v>1108</v>
      </c>
      <c r="J116" s="147" t="s">
        <v>1109</v>
      </c>
      <c r="K116" s="147">
        <v>357.2</v>
      </c>
      <c r="L116" s="241">
        <v>138.4</v>
      </c>
      <c r="M116" s="241">
        <v>6.1</v>
      </c>
      <c r="N116" s="242">
        <v>40000</v>
      </c>
      <c r="O116" s="242">
        <v>55000</v>
      </c>
      <c r="P116" s="242">
        <v>65000</v>
      </c>
      <c r="Q116" s="242">
        <v>75000</v>
      </c>
      <c r="R116" s="242" t="s">
        <v>110</v>
      </c>
      <c r="S116" s="242">
        <v>55000</v>
      </c>
      <c r="T116" s="242" t="s">
        <v>1110</v>
      </c>
      <c r="U116" s="242" t="s">
        <v>1111</v>
      </c>
      <c r="V116" s="242" t="s">
        <v>1112</v>
      </c>
      <c r="W116" s="150" t="s">
        <v>1113</v>
      </c>
      <c r="X116" s="150" t="s">
        <v>43</v>
      </c>
    </row>
  </sheetData>
  <autoFilter xmlns:etc="http://www.wps.cn/officeDocument/2017/etCustomData" ref="A2:AC116" etc:filterBottomFollowUsedRange="0">
    <extLst/>
  </autoFilter>
  <mergeCells count="3">
    <mergeCell ref="A1:X1"/>
    <mergeCell ref="N8:P8"/>
    <mergeCell ref="N9:P9"/>
  </mergeCells>
  <hyperlinks>
    <hyperlink ref="H116" r:id="rId2" display="https://v.douyin.com/ee1Ud3N/" tooltip="https://v.douyin.com/ee1Ud3N/"/>
    <hyperlink ref="H12" r:id="rId3" display="https://v.douyin.com/EngtHX/"/>
    <hyperlink ref="H86" r:id="rId4" display="https://v.douyin.com/JGoHUQ1/"/>
    <hyperlink ref="H26" r:id="rId5" display="https://v.douyin.com/En7hpe/"/>
    <hyperlink ref="H13" r:id="rId6" display="https://v.douyin.com/JCK38Tm/"/>
    <hyperlink ref="H17" r:id="rId7" display="https://v.douyin.com/eCcKy1K/"/>
    <hyperlink ref="H53" r:id="rId8" display="https://v.douyin.com/8bbdWJN/"/>
    <hyperlink ref="H22" r:id="rId9" display="https://v.douyin.com/N9wSKAr/" tooltip="https://v.douyin.com/N9wSKAr/"/>
    <hyperlink ref="H108" r:id="rId10" display="https://v.douyin.com/qAah9R/"/>
    <hyperlink ref="H51" r:id="rId11" display="https://v.douyin.com/evchkkA/"/>
    <hyperlink ref="H101" r:id="rId12" display="https://v.douyin.com/En7thx/"/>
    <hyperlink ref="H27" r:id="rId13" display="https://v.douyin.com/RLPXyXk/"/>
    <hyperlink ref="H47" r:id="rId14" display="https://v.douyin.com/YSFB7Vh/"/>
    <hyperlink ref="H41" r:id="rId15" display="https://v.douyin.com/jw6LBUB/"/>
    <hyperlink ref="H39" r:id="rId16" display="https://v.douyin.com/rNwDm9W/"/>
    <hyperlink ref="H115" r:id="rId17" display="https://v.douyin.com/rVAPr2p/"/>
    <hyperlink ref="H55" r:id="rId18" display="https://v.douyin.com/hQeDxNC/"/>
    <hyperlink ref="H99" r:id="rId19" display="https://v.douyin.com/N7vAXXo/"/>
    <hyperlink ref="H100" r:id="rId20" display="https://v.douyin.com/YFDupKa/"/>
    <hyperlink ref="H46" r:id="rId21" display="https://v.douyin.com/BNvsvjV/"/>
    <hyperlink ref="H19" r:id="rId22" display="https://v.douyin.com/BcRnESq/"/>
    <hyperlink ref="H76" r:id="rId23" display="https://v.douyin.com/S2jDbCK/"/>
    <hyperlink ref="H56" r:id="rId24" display="https://v.douyin.com/SyqNhh3/"/>
    <hyperlink ref="H87" r:id="rId25" display="https://v.douyin.com/AvYkCxx/"/>
    <hyperlink ref="H93" r:id="rId26" display="https://v.douyin.com/AEx3WQG/"/>
    <hyperlink ref="H15" r:id="rId27" display="https://v.douyin.com/jcNeW61/" tooltip="https://v.douyin.com/jcNeW61/"/>
    <hyperlink ref="H58" r:id="rId28" display="https://v.douyin.com/U7hrxCa/"/>
    <hyperlink ref="H59" r:id="rId29" display="https://v.douyin.com/iJCV86d/"/>
    <hyperlink ref="H8" r:id="rId30" display="https://v.douyin.com/N59HuqG/"/>
    <hyperlink ref="H89" r:id="rId31" display="https://v.douyin.com/i3omXSR/"/>
    <hyperlink ref="H103" r:id="rId32" display="https://v.douyin.com/ieJEk27r/"/>
    <hyperlink ref="H54" r:id="rId33" display="https://v.douyin.com/idVsSMmU/"/>
    <hyperlink ref="H57" r:id="rId34" display="https://v.douyin.com/iRjb6jSc/"/>
    <hyperlink ref="H91" r:id="rId35" display="https://v.douyin.com/iLb8hLmv/"/>
    <hyperlink ref="H64" r:id="rId36" display="https://v.douyin.com/iLnrNjSN/"/>
    <hyperlink ref="H31" r:id="rId37" display="https://v.douyin.com/eC3yEYf/"/>
    <hyperlink ref="H32" r:id="rId38" display="https://v.douyin.com/8Y1YhAe/"/>
    <hyperlink ref="H14" r:id="rId39" display="https://v.douyin.com/FSgqeNj/"/>
    <hyperlink ref="H18" r:id="rId40" display="https://v.douyin.com/ijAbtYL4/"/>
    <hyperlink ref="H84" r:id="rId41" display="https://v.douyin.com/ijjdY42F/"/>
    <hyperlink ref="H112" r:id="rId42" display="https://v.douyin.com/iY85x94D/"/>
    <hyperlink ref="H113" r:id="rId43" display="https://v.douyin.com/i2H5qaFs/"/>
    <hyperlink ref="H63" r:id="rId44" display="https://v.douyin.com/i6jrprmo/ 5@2.com" tooltip="https://v.douyin.com/i6jrprmo/ 5@2.com"/>
    <hyperlink ref="H42" r:id="rId45" display="https://v.douyin.com/ik1j1xge/ 9@3.com"/>
    <hyperlink ref="H49" r:id="rId46" display="https://v.douyin.com/iMskdSfA/"/>
    <hyperlink ref="H92" r:id="rId47" display="https://v.douyin.com/ihY3Bnto/ 3@1.com"/>
    <hyperlink ref="H102" r:id="rId48" display="https://v.douyin.com/ihLfY4my/ 1@8.com"/>
    <hyperlink ref="H33" r:id="rId49" display="https://v.douyin.com/ikHJhdsd/ 5@0.com"/>
    <hyperlink ref="H36" r:id="rId50" display="https://v.douyin.com/iBXmyyq9/ 3@3.com"/>
    <hyperlink ref="H110" r:id="rId51" display="https://v.douyin.com/24q2eQN/"/>
    <hyperlink ref="H62" r:id="rId52" display="https://v.douyin.com/iDDaWpJE/ 8@1.com :1pm" tooltip="https://v.douyin.com/iDDaWpJE/ 8@1.com :1pm"/>
    <hyperlink ref="H43" r:id="rId53" display="https://v.douyin.com/iDDUXSLj/ 9@1.com :2pm"/>
    <hyperlink ref="H111" r:id="rId54" display="https://v.douyin.com/iUU8cHHq/"/>
    <hyperlink ref="H83" r:id="rId55" display="https://v.douyin.com/FSHKXaa/"/>
    <hyperlink ref="H67" r:id="rId56" display="https://v.douyin.com/RNPgvkV/" tooltip="https://v.douyin.com/RNPgvkV/"/>
    <hyperlink ref="H114" r:id="rId57" display="https://v.douyin.com/iYBa8VBc/"/>
    <hyperlink ref="H24" r:id="rId58" display="https://v.douyin.com/iy5xpGEA/"/>
    <hyperlink ref="H97" r:id="rId59" display="https://v.douyin.com/iyQ6npBH/"/>
    <hyperlink ref="H96" r:id="rId60" display="https://v.douyin.com/iDDrdfwC/ 9@0.com"/>
    <hyperlink ref="H88" r:id="rId61" display="https://v.douyin.com/dHJh1Q1/"/>
    <hyperlink ref="H104" r:id="rId62" display="https://v.douyin.com/rXkgpu2/"/>
    <hyperlink ref="H40" r:id="rId63" display="https://v.douyin.com/D2Syf86/"/>
    <hyperlink ref="H66" r:id="rId64" display="https://v.douyin.com/l48-W0BWH2c/" tooltip="https://v.douyin.com/l48-W0BWH2c/"/>
    <hyperlink ref="H6" r:id="rId65" display="https://v.douyin.com/_lMUnKhZ_vE/"/>
    <hyperlink ref="H82" r:id="rId66" display="https://v.douyin.com/iN7QSUQs/"/>
    <hyperlink ref="H78" r:id="rId67" display="https://v.douyin.com/i5boShFY/"/>
    <hyperlink ref="H80" r:id="rId68" display="https://v.douyin.com/iSSP2279/ 2@2.com"/>
    <hyperlink ref="H73" r:id="rId69" display="https://v.douyin.com/ieJE8VSW/"/>
    <hyperlink ref="H71" r:id="rId70" display="https://v.douyin.com/iJPnXVxk/"/>
    <hyperlink ref="H69" r:id="rId71" display="https://v.douyin.com/iJPnedXN/"/>
    <hyperlink ref="H70" r:id="rId72" display="https://v.douyin.com/iLnMvpHr/"/>
    <hyperlink ref="I110" r:id="rId73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8" r:id="rId74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4" r:id="rId75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12" r:id="rId76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77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4" r:id="rId78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5" r:id="rId79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7" r:id="rId80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8" r:id="rId81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2" r:id="rId82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83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6" r:id="rId84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7" r:id="rId85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1" r:id="rId86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2" r:id="rId87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3" r:id="rId88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6" r:id="rId89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9" r:id="rId90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0" r:id="rId91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1" r:id="rId92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2" r:id="rId93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43" r:id="rId94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6" r:id="rId95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7" r:id="rId96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9" r:id="rId97" display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1" r:id="rId98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3" r:id="rId99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4" r:id="rId100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5" r:id="rId101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6" r:id="rId102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103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8" r:id="rId104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9" r:id="rId105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6" r:id="rId106" display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2" r:id="rId107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3" r:id="rId108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4" r:id="rId109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6" r:id="rId110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111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112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0" r:id="rId113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1" r:id="rId114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3" r:id="rId115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8" r:id="rId116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0" r:id="rId117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2" r:id="rId118" display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3" r:id="rId119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4" r:id="rId120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6" r:id="rId121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7" r:id="rId122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2" r:id="rId123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24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9" r:id="rId125" display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1" r:id="rId126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3" r:id="rId127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" r:id="rId128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6" r:id="rId129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7" r:id="rId130" display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31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0" r:id="rId132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33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2" r:id="rId134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3" r:id="rId135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4" r:id="rId136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8" r:id="rId137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1" r:id="rId138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2" r:id="rId139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3" r:id="rId140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4" r:id="rId141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5" r:id="rId142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6" r:id="rId143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50" r:id="rId144" display="https://v.douyin.com/sAN6OJdtQJk/ 5@8.com"/>
    <hyperlink ref="I50" r:id="rId145" display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94" r:id="rId146" display="https://v.douyin.com/SfXQxQL349E/ 7@4.com"/>
    <hyperlink ref="I94" r:id="rId147" display="https://www.xingtu.cn/ad/creator/author-homepage/douyin-video/6675972478684102659?market_track_id=8VVIMQRXFNYSWMG59N6B&amp;search_session_id=7516811288732237887&amp;possessStarId"/>
    <hyperlink ref="H34" r:id="rId148" display="https://v.douyin.com/NfM4H3xVgqI/ 0@0.com"/>
    <hyperlink ref="I34" r:id="rId149" display="https://www.xingtu.cn/ad/creator/author-homepage/douyin-video/6870160334506688526?market_track_id=ALUPYOHU2Q7WIQNY7CS6&amp;search_session_id=7529771916695224339&amp;possessStarId"/>
    <hyperlink ref="I5" r:id="rId150" display="https://www.xingtu.cn/ad/creator/author-homepage/douyin-video/7212165981076979770?market_track_id=C1YWJOJOH7GWYM2BJIBX&amp;search_session_id=7532374389598191658&amp;possessStarId"/>
    <hyperlink ref="H5" r:id="rId151" display="https://v.douyin.com/Y_T6k4YZ1jA/"/>
    <hyperlink ref="H75" r:id="rId152" display="https://v.douyin.com/9AFkA0NTkFQ/"/>
    <hyperlink ref="I75" r:id="rId153" display="https://www.xingtu.cn/ad/creator/author-homepage/douyin-video/6629722298792280068?market_track_id=ALE4EJ3WE9UOCFVX4NC4&amp;search_session_id=7532380290833645604&amp;possessStarId"/>
    <hyperlink ref="H4" r:id="rId154" display="https://v.douyin.com/em3sFvS6LMA/"/>
    <hyperlink ref="I4" r:id="rId155" display="https://www.xingtu.cn/ad/creator/author-homepage/douyin-video/6870112225344880653?market_track_id=MR61YKQACBEHR44TKR7E&amp;search_session_id=7533159252346241078&amp;possessStarId"/>
    <hyperlink ref="H109" r:id="rId156" display="https://v.douyin.com/l9yMFgFF4Ic/"/>
    <hyperlink ref="I109" r:id="rId157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35" r:id="rId158" display="https://v.douyin.com/YVnZ2nB_6tQ/ 9@0.com"/>
    <hyperlink ref="I35" r:id="rId159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48" r:id="rId160" display="https://v.douyin.com/8X9N7CXaq1E/"/>
    <hyperlink ref="I48" r:id="rId161" display="https://www.xingtu.cn/ad/creator/author-homepage/douyin-video/7187348189282828322?market_track_id=R423INSAAL9SF4RUDHTZ&amp;search_session_id=7553117274304331812&amp;possessStarId"/>
    <hyperlink ref="H61" r:id="rId162" display="https://v.douyin.com/eNCSeHH/"/>
    <hyperlink ref="I61" r:id="rId163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21" r:id="rId164" display="https://v.douyin.com/eXcXMuA/"/>
    <hyperlink ref="H20" r:id="rId165" display="https://v.douyin.com/FmolR1KJook/"/>
    <hyperlink ref="I20" r:id="rId166" display="https://www.xingtu.cn/ad/creator/author-homepage/douyin-video/6859218264526962702?market_track_id=ESWOJZ4LL2IDD4QEYDFT&amp;search_session_id=7550213757390864438&amp;possessStarId"/>
    <hyperlink ref="I21" r:id="rId167" display="https://www.xingtu.cn/ad/creator/author-homepage/douyin-video/6977280720922214431?market_track_id=UG67XTJXH7NXPKDVOMTP&amp;search_session_id=7550213941088239658&amp;possessStarId"/>
    <hyperlink ref="I60" r:id="rId168" display="https://www.xingtu.cn/ad/creator/author-homepage/douyin-video/6950547741772611621?market_track_id=TNBIOM0X2B5CFEY1M52H&amp;search_session_id=7555809283087810599&amp;possessStarId"/>
    <hyperlink ref="H60" r:id="rId169" display="https://v.douyin.com/EYsYmOl35_o/"/>
    <hyperlink ref="H65" r:id="rId170" display="https://v.douyin.com/5LLBqQm4uf4/"/>
    <hyperlink ref="I65" r:id="rId171" display="https://www.xingtu.cn/ad/creator/author-homepage/douyin-video/7407347330132738057?market_track_id=7SU5QKEZ921HNV6839I8&amp;search_session_id=7559782211450028086&amp;possessStarId"/>
    <hyperlink ref="H98" r:id="rId172" display="https://v.douyin.com/YPNJaozIgqY/"/>
    <hyperlink ref="I98" r:id="rId173" display="https://www.xingtu.cn/ad/creator/author-homepage/douyin-video/7530268826995261481?market_track_id=AFYCHK8E6RNNZI1D3OYX&amp;search_session_id=7560902726126403620&amp;possessStarId"/>
    <hyperlink ref="H95" r:id="rId174" display="https://v.douyin.com/NYLfLoo/"/>
    <hyperlink ref="I95" r:id="rId175" display="https://www.xingtu.cn/ad/creator/author-homepage/douyin-video/6800827006318542862?market_track_id=WGDIPUY8NR4CR015XCAO&amp;search_session_id=7550217227611275305&amp;possessStarId"/>
    <hyperlink ref="H11" r:id="rId176" display="https://v.douyin.com/H7lCQCl2gF4/"/>
    <hyperlink ref="I11" r:id="rId177" display="https://www.xingtu.cn/ad/creator/author-homepage/douyin-video/6699318218474913804?market_track_id=UMCDEZE1JFMA2YLW7LSG&amp;search_session_id=7563966209005060150&amp;possessStarId"/>
    <hyperlink ref="H38" r:id="rId178" display="https://v.douyin.com/91XqThN95LU/"/>
    <hyperlink ref="I38" r:id="rId179" display="https://www.xingtu.cn/ad/creator/author-homepage/douyin-video/6596679736393465860?market_track_id=APBR2FCN2QFQPX0QSDB3&amp;search_session_id=7565742280636989503&amp;possessStarId"/>
    <hyperlink ref="H81" r:id="rId180" display="https://v.douyin.com/X59bTLxsw30/"/>
    <hyperlink ref="I81" r:id="rId181" display="https://www.xingtu.cn/ad/creator/author-homepage/douyin-video/7407743938431287347?market_track_id=6VJJY5F6E3FS3YS952O9&amp;search_session_id=7566145823580274730&amp;possessStarId"/>
    <hyperlink ref="H79" r:id="rId182" display="https://v.douyin.com/bHqAlsCKcIw/"/>
    <hyperlink ref="I79" r:id="rId183" display="https://www.xingtu.cn/ad/creator/author-homepage/douyin-video/7548699303942832174?market_track_id=A1GVOKQQEDPMPOB3NZJQ&amp;search_session_id=7567378003446431795&amp;possessStarId"/>
    <hyperlink ref="H16" r:id="rId184" display="https://v.douyin.com/-b2XUM3O2qk/"/>
    <hyperlink ref="I16" r:id="rId185" display="https://www.xingtu.cn/ad/creator/author-homepage/douyin-video/6881097634480652296?market_track_id=VTJM4Z9RTPETU9VQST4G&amp;search_session_id=7569060253904846889&amp;possessStarId"/>
    <hyperlink ref="H9" r:id="rId186" display="https://v.douyin.com/P9i7l467NEs/"/>
    <hyperlink ref="I9" r:id="rId187" display="https://www.xingtu.cn/ad/creator/author-homepage/douyin-video/7568817054545412146?market_track_id=98IZH98452SRN4JC5R92&amp;search_session_id=7569069326943715391&amp;possessStarId"/>
    <hyperlink ref="H74" r:id="rId188" display="https://v.douyin.com/YnUjViz55N4/"/>
    <hyperlink ref="I74" r:id="rId189" display="https://www.xingtu.cn/ad/creator/author-homepage/douyin-video/6716888711335772164?market_track_id=IFYOO8BHE9JNSSK8UBE6&amp;search_session_id=7571704554984472619&amp;possessStarId"/>
    <hyperlink ref="H28" r:id="rId190" display="https://v.douyin.com/Fo6zCYRvpPA/"/>
    <hyperlink ref="I28" r:id="rId191" display="https://www.xingtu.cn/ad/creator/author-homepage/douyin-video/7381766949996331017?market_track_id=NEDQY0AMQQDYQN41G8CM&amp;search_session_id=7572463486438735878&amp;possessStarId"/>
    <hyperlink ref="H29" r:id="rId192" display="https://v.douyin.com/_FIjdu3XHpI/"/>
    <hyperlink ref="H30" r:id="rId193" display="https://v.douyin.com/0QUqPDyOiYI/"/>
    <hyperlink ref="I29" r:id="rId194" display="https://www.xingtu.cn/ad/creator/author-homepage/douyin-video/7515706747558821914?market_track_id=V0L18ORLB0HFDNBMGWSO&amp;search_session_id=7572463472073343017&amp;possessStarId"/>
    <hyperlink ref="I30" r:id="rId195" display="https://www.xingtu.cn/ad/creator/author-homepage/douyin-video/7547976599398318089?market_track_id=R5DZ8YSWRGDLDFHSKGHK&amp;search_session_id=7572463525462655039&amp;possessStarId"/>
    <hyperlink ref="H44" r:id="rId196" display="https://v.douyin.com/wY5EbAVpuV8/"/>
    <hyperlink ref="I44" r:id="rId197" display="https://www.xingtu.cn/ad/creator/author-homepage/douyin-video/7488315869542481958?market_track_id=GN4C1YMKB8J6X9QKJHNN&amp;search_session_id=7576565643592663094&amp;possessStarId"/>
    <hyperlink ref="H77" r:id="rId198" display="https://v.douyin.com/bwEB4nNFwkw/"/>
    <hyperlink ref="I77" r:id="rId199" display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/>
    <hyperlink ref="H106" r:id="rId200" display="https://v.douyin.com/Wd-9v46EwOo/"/>
    <hyperlink ref="I106" r:id="rId201" display="https://www.xingtu.cn/ad/creator/author-homepage/douyin-video/7437412455573094438?market_track_id=OZDXFB6LRY6IARAR1ZJR&amp;search_session_id=7577287979769987108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41"/>
  <sheetViews>
    <sheetView workbookViewId="0">
      <pane xSplit="4" ySplit="2" topLeftCell="E7" activePane="bottomRight" state="frozen"/>
      <selection/>
      <selection pane="topRight"/>
      <selection pane="bottomLeft"/>
      <selection pane="bottomRight" activeCell="D9" sqref="D9"/>
    </sheetView>
  </sheetViews>
  <sheetFormatPr defaultColWidth="9.81666666666667" defaultRowHeight="13.5"/>
  <cols>
    <col min="1" max="1" width="9.64166666666667" style="1"/>
    <col min="2" max="2" width="5.625" style="34" customWidth="1"/>
    <col min="3" max="3" width="7.625" style="34" customWidth="1"/>
    <col min="4" max="4" width="15.7583333333333" style="151" customWidth="1"/>
    <col min="5" max="5" width="30.3916666666667" style="34" customWidth="1"/>
    <col min="6" max="6" width="14.5583333333333" style="34" customWidth="1"/>
    <col min="7" max="7" width="11.8916666666667" style="34" customWidth="1"/>
    <col min="8" max="8" width="30.4583333333333" style="34" customWidth="1"/>
    <col min="9" max="9" width="8.625" style="34" customWidth="1"/>
    <col min="10" max="10" width="9.625" style="34" customWidth="1"/>
    <col min="11" max="13" width="13.775" style="34" customWidth="1"/>
    <col min="14" max="14" width="34.4583333333333" style="152" customWidth="1"/>
    <col min="15" max="15" width="5.44166666666667" style="34" customWidth="1"/>
    <col min="16" max="16382" width="9.64166666666667" style="1"/>
    <col min="16383" max="16384" width="9.81666666666667" style="1"/>
  </cols>
  <sheetData>
    <row r="1" s="1" customFormat="1" ht="70" customHeight="1" spans="1:15">
      <c r="A1" s="153" t="s">
        <v>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="2" customFormat="1" ht="30" customHeight="1" spans="1:15">
      <c r="A2" s="154" t="s">
        <v>1114</v>
      </c>
      <c r="B2" s="154" t="s">
        <v>7</v>
      </c>
      <c r="C2" s="154" t="s">
        <v>9</v>
      </c>
      <c r="D2" s="154" t="s">
        <v>10</v>
      </c>
      <c r="E2" s="154" t="s">
        <v>1115</v>
      </c>
      <c r="F2" s="154" t="s">
        <v>12</v>
      </c>
      <c r="G2" s="154" t="s">
        <v>1116</v>
      </c>
      <c r="H2" s="12" t="s">
        <v>14</v>
      </c>
      <c r="I2" s="12" t="s">
        <v>1117</v>
      </c>
      <c r="J2" s="12" t="s">
        <v>18</v>
      </c>
      <c r="K2" s="12" t="s">
        <v>20</v>
      </c>
      <c r="L2" s="12" t="s">
        <v>21</v>
      </c>
      <c r="M2" s="12" t="s">
        <v>22</v>
      </c>
      <c r="N2" s="155" t="s">
        <v>1118</v>
      </c>
      <c r="O2" s="154" t="s">
        <v>30</v>
      </c>
    </row>
    <row r="3" s="1" customFormat="1" ht="40" customHeight="1" spans="1:15">
      <c r="A3" s="44" t="s">
        <v>1119</v>
      </c>
      <c r="B3" s="49">
        <v>1</v>
      </c>
      <c r="C3" s="45" t="str">
        <f>_xlfn.DISPIMG("ID_B834CA9A2438445EADFD937FC78AAE9F",1)</f>
        <v>=DISPIMG("ID_B834CA9A2438445EADFD937FC78AAE9F",1)</v>
      </c>
      <c r="D3" s="44" t="s">
        <v>1120</v>
      </c>
      <c r="E3" s="49" t="s">
        <v>1121</v>
      </c>
      <c r="F3" s="44" t="s">
        <v>1122</v>
      </c>
      <c r="G3" s="44" t="s">
        <v>1123</v>
      </c>
      <c r="H3" s="44" t="s">
        <v>1124</v>
      </c>
      <c r="I3" s="44">
        <v>611.8</v>
      </c>
      <c r="J3" s="88">
        <v>472.2</v>
      </c>
      <c r="K3" s="156">
        <v>150000</v>
      </c>
      <c r="L3" s="156">
        <v>180000</v>
      </c>
      <c r="M3" s="156">
        <v>200000</v>
      </c>
      <c r="N3" s="49" t="s">
        <v>1125</v>
      </c>
      <c r="O3" s="44" t="s">
        <v>434</v>
      </c>
    </row>
    <row r="4" s="1" customFormat="1" ht="40" customHeight="1" spans="1:15">
      <c r="A4" s="40" t="s">
        <v>1126</v>
      </c>
      <c r="B4" s="40">
        <v>2</v>
      </c>
      <c r="C4" s="40" t="str">
        <f>_xlfn.DISPIMG("ID_ED6D7241C08D4B8081FD7E8F3FBC30D4",1)</f>
        <v>=DISPIMG("ID_ED6D7241C08D4B8081FD7E8F3FBC30D4",1)</v>
      </c>
      <c r="D4" s="40" t="s">
        <v>1127</v>
      </c>
      <c r="E4" s="43" t="s">
        <v>1128</v>
      </c>
      <c r="F4" s="43" t="s">
        <v>1129</v>
      </c>
      <c r="G4" s="43" t="s">
        <v>1130</v>
      </c>
      <c r="H4" s="43" t="s">
        <v>1131</v>
      </c>
      <c r="I4" s="123">
        <v>1650.4</v>
      </c>
      <c r="J4" s="157">
        <v>205.9</v>
      </c>
      <c r="K4" s="158">
        <v>150000</v>
      </c>
      <c r="L4" s="158">
        <v>200000</v>
      </c>
      <c r="M4" s="158">
        <v>250000</v>
      </c>
      <c r="N4" s="43" t="s">
        <v>1132</v>
      </c>
      <c r="O4" s="43" t="s">
        <v>43</v>
      </c>
    </row>
    <row r="5" s="1" customFormat="1" ht="40" customHeight="1" spans="1:15">
      <c r="A5" s="44" t="s">
        <v>1126</v>
      </c>
      <c r="B5" s="49">
        <v>3</v>
      </c>
      <c r="C5" s="45" t="str">
        <f>_xlfn.DISPIMG("ID_AD37E208650B4CCEB253B1CCAB9E04EA",1)</f>
        <v>=DISPIMG("ID_AD37E208650B4CCEB253B1CCAB9E04EA",1)</v>
      </c>
      <c r="D5" s="44" t="s">
        <v>1133</v>
      </c>
      <c r="E5" s="49" t="s">
        <v>1134</v>
      </c>
      <c r="F5" s="44" t="s">
        <v>1135</v>
      </c>
      <c r="G5" s="44" t="s">
        <v>1136</v>
      </c>
      <c r="H5" s="44" t="s">
        <v>1137</v>
      </c>
      <c r="I5" s="44">
        <v>275.1</v>
      </c>
      <c r="J5" s="88">
        <v>78.7</v>
      </c>
      <c r="K5" s="156">
        <v>99800</v>
      </c>
      <c r="L5" s="156">
        <v>120000</v>
      </c>
      <c r="M5" s="156">
        <v>150000</v>
      </c>
      <c r="N5" s="49" t="s">
        <v>39</v>
      </c>
      <c r="O5" s="44" t="s">
        <v>1138</v>
      </c>
    </row>
    <row r="6" s="1" customFormat="1" ht="40" customHeight="1" spans="1:15">
      <c r="A6" s="40" t="s">
        <v>1126</v>
      </c>
      <c r="B6" s="40">
        <v>4</v>
      </c>
      <c r="C6" s="40" t="str">
        <f>_xlfn.DISPIMG("ID_0DC8C4949D3E409B87AEA9AB3791B26D",1)</f>
        <v>=DISPIMG("ID_0DC8C4949D3E409B87AEA9AB3791B26D",1)</v>
      </c>
      <c r="D6" s="40" t="s">
        <v>1139</v>
      </c>
      <c r="E6" s="43" t="s">
        <v>1140</v>
      </c>
      <c r="F6" s="43">
        <v>31758870</v>
      </c>
      <c r="G6" s="43" t="s">
        <v>1130</v>
      </c>
      <c r="H6" s="43" t="s">
        <v>1141</v>
      </c>
      <c r="I6" s="123">
        <v>236</v>
      </c>
      <c r="J6" s="157">
        <v>253.7</v>
      </c>
      <c r="K6" s="158">
        <v>35000</v>
      </c>
      <c r="L6" s="158">
        <v>38000</v>
      </c>
      <c r="M6" s="158">
        <v>42000</v>
      </c>
      <c r="N6" s="43" t="s">
        <v>1142</v>
      </c>
      <c r="O6" s="43" t="s">
        <v>43</v>
      </c>
    </row>
    <row r="7" s="1" customFormat="1" ht="40" customHeight="1" spans="1:15">
      <c r="A7" s="44" t="s">
        <v>152</v>
      </c>
      <c r="B7" s="49">
        <v>5</v>
      </c>
      <c r="C7" s="45" t="str">
        <f>_xlfn.DISPIMG("ID_B63F0D4E47FD4237923B412788D91114",1)</f>
        <v>=DISPIMG("ID_B63F0D4E47FD4237923B412788D91114",1)</v>
      </c>
      <c r="D7" s="44" t="s">
        <v>1143</v>
      </c>
      <c r="E7" s="49" t="s">
        <v>1144</v>
      </c>
      <c r="F7" s="44" t="s">
        <v>1145</v>
      </c>
      <c r="G7" s="44" t="s">
        <v>152</v>
      </c>
      <c r="H7" s="44" t="s">
        <v>1146</v>
      </c>
      <c r="I7" s="44">
        <v>547.7</v>
      </c>
      <c r="J7" s="88">
        <v>36.1</v>
      </c>
      <c r="K7" s="156">
        <v>27450</v>
      </c>
      <c r="L7" s="156">
        <v>45000</v>
      </c>
      <c r="M7" s="156">
        <v>60000</v>
      </c>
      <c r="N7" s="49" t="s">
        <v>1147</v>
      </c>
      <c r="O7" s="44" t="s">
        <v>413</v>
      </c>
    </row>
    <row r="8" s="1" customFormat="1" ht="40" customHeight="1" spans="1:15">
      <c r="A8" s="40" t="s">
        <v>152</v>
      </c>
      <c r="B8" s="40">
        <v>6</v>
      </c>
      <c r="C8" s="40" t="str">
        <f>_xlfn.DISPIMG("ID_4667BC96DDF2491FBB744EB49DCB619C",1)</f>
        <v>=DISPIMG("ID_4667BC96DDF2491FBB744EB49DCB619C",1)</v>
      </c>
      <c r="D8" s="40" t="s">
        <v>1148</v>
      </c>
      <c r="E8" s="43" t="s">
        <v>1149</v>
      </c>
      <c r="F8" s="43" t="s">
        <v>1150</v>
      </c>
      <c r="G8" s="43" t="s">
        <v>1151</v>
      </c>
      <c r="H8" s="43" t="s">
        <v>1152</v>
      </c>
      <c r="I8" s="123">
        <v>146.9</v>
      </c>
      <c r="J8" s="157">
        <v>114.8</v>
      </c>
      <c r="K8" s="158">
        <v>100000</v>
      </c>
      <c r="L8" s="158">
        <v>120000</v>
      </c>
      <c r="M8" s="158">
        <v>150000</v>
      </c>
      <c r="N8" s="43" t="s">
        <v>1153</v>
      </c>
      <c r="O8" s="43" t="s">
        <v>1154</v>
      </c>
    </row>
    <row r="9" s="1" customFormat="1" ht="40" customHeight="1" spans="1:15">
      <c r="A9" s="44" t="s">
        <v>152</v>
      </c>
      <c r="B9" s="49">
        <v>7</v>
      </c>
      <c r="C9" s="45" t="str">
        <f>_xlfn.DISPIMG("ID_09555191A04C47CE80C8671C51A1789E",1)</f>
        <v>=DISPIMG("ID_09555191A04C47CE80C8671C51A1789E",1)</v>
      </c>
      <c r="D9" s="44" t="s">
        <v>1155</v>
      </c>
      <c r="E9" s="49" t="s">
        <v>1156</v>
      </c>
      <c r="F9" s="44" t="s">
        <v>1157</v>
      </c>
      <c r="G9" s="44" t="s">
        <v>152</v>
      </c>
      <c r="H9" s="44" t="s">
        <v>1158</v>
      </c>
      <c r="I9" s="44">
        <v>59.9</v>
      </c>
      <c r="J9" s="88">
        <v>43.2</v>
      </c>
      <c r="K9" s="156">
        <v>11800</v>
      </c>
      <c r="L9" s="156">
        <v>15800</v>
      </c>
      <c r="M9" s="156">
        <v>19800</v>
      </c>
      <c r="N9" s="49" t="s">
        <v>1159</v>
      </c>
      <c r="O9" s="44" t="s">
        <v>402</v>
      </c>
    </row>
    <row r="10" s="1" customFormat="1" ht="40" customHeight="1" spans="1:15">
      <c r="A10" s="40" t="s">
        <v>1160</v>
      </c>
      <c r="B10" s="40">
        <v>8</v>
      </c>
      <c r="C10" s="40" t="str">
        <f>_xlfn.DISPIMG("ID_BF25C8DEAD444832BC4991F24EC25453",1)</f>
        <v>=DISPIMG("ID_BF25C8DEAD444832BC4991F24EC25453",1)</v>
      </c>
      <c r="D10" s="40" t="s">
        <v>1161</v>
      </c>
      <c r="E10" s="43" t="s">
        <v>1162</v>
      </c>
      <c r="F10" s="43" t="s">
        <v>1163</v>
      </c>
      <c r="G10" s="43" t="s">
        <v>1164</v>
      </c>
      <c r="H10" s="43" t="s">
        <v>1165</v>
      </c>
      <c r="I10" s="123">
        <v>58.9</v>
      </c>
      <c r="J10" s="157">
        <v>17</v>
      </c>
      <c r="K10" s="158">
        <v>40000</v>
      </c>
      <c r="L10" s="158">
        <v>48000</v>
      </c>
      <c r="M10" s="158">
        <v>52000</v>
      </c>
      <c r="N10" s="43" t="s">
        <v>1166</v>
      </c>
      <c r="O10" s="43" t="s">
        <v>43</v>
      </c>
    </row>
    <row r="11" s="1" customFormat="1" ht="40" customHeight="1" spans="1:15">
      <c r="A11" s="44" t="s">
        <v>1167</v>
      </c>
      <c r="B11" s="49">
        <v>9</v>
      </c>
      <c r="C11" s="45" t="str">
        <f>_xlfn.DISPIMG("ID_0BFE4C35106346258B08A377C582C11E",1)</f>
        <v>=DISPIMG("ID_0BFE4C35106346258B08A377C582C11E",1)</v>
      </c>
      <c r="D11" s="44" t="s">
        <v>1168</v>
      </c>
      <c r="E11" s="49" t="s">
        <v>1169</v>
      </c>
      <c r="F11" s="44" t="s">
        <v>1170</v>
      </c>
      <c r="G11" s="44" t="s">
        <v>1171</v>
      </c>
      <c r="H11" s="44" t="s">
        <v>1172</v>
      </c>
      <c r="I11" s="44">
        <v>504.6</v>
      </c>
      <c r="J11" s="88">
        <v>192.2</v>
      </c>
      <c r="K11" s="156">
        <v>34000</v>
      </c>
      <c r="L11" s="156">
        <v>39000</v>
      </c>
      <c r="M11" s="156">
        <v>43000</v>
      </c>
      <c r="N11" s="49" t="s">
        <v>1173</v>
      </c>
      <c r="O11" s="44" t="s">
        <v>1174</v>
      </c>
    </row>
    <row r="12" s="1" customFormat="1" ht="40" customHeight="1" spans="1:15">
      <c r="A12" s="40" t="s">
        <v>1175</v>
      </c>
      <c r="B12" s="40">
        <v>10</v>
      </c>
      <c r="C12" s="40" t="str">
        <f>_xlfn.DISPIMG("ID_0BB29904F01945A098FA5B13AF9C6B23",1)</f>
        <v>=DISPIMG("ID_0BB29904F01945A098FA5B13AF9C6B23",1)</v>
      </c>
      <c r="D12" s="40" t="s">
        <v>1176</v>
      </c>
      <c r="E12" s="43" t="s">
        <v>1177</v>
      </c>
      <c r="F12" s="43" t="s">
        <v>1178</v>
      </c>
      <c r="G12" s="43" t="s">
        <v>1175</v>
      </c>
      <c r="H12" s="43" t="s">
        <v>1179</v>
      </c>
      <c r="I12" s="123">
        <v>123.1</v>
      </c>
      <c r="J12" s="157">
        <v>243.4</v>
      </c>
      <c r="K12" s="158">
        <v>50000</v>
      </c>
      <c r="L12" s="158">
        <v>55000</v>
      </c>
      <c r="M12" s="158">
        <v>60000</v>
      </c>
      <c r="N12" s="43" t="s">
        <v>1180</v>
      </c>
      <c r="O12" s="43" t="s">
        <v>413</v>
      </c>
    </row>
    <row r="13" s="1" customFormat="1" ht="40" customHeight="1" spans="1:15">
      <c r="A13" s="44" t="s">
        <v>867</v>
      </c>
      <c r="B13" s="49">
        <v>11</v>
      </c>
      <c r="C13" s="45" t="str">
        <f>_xlfn.DISPIMG("ID_AFE0873BF9B74487A9F8728995BDF9E6",1)</f>
        <v>=DISPIMG("ID_AFE0873BF9B74487A9F8728995BDF9E6",1)</v>
      </c>
      <c r="D13" s="44" t="s">
        <v>1181</v>
      </c>
      <c r="E13" s="49" t="s">
        <v>1182</v>
      </c>
      <c r="F13" s="44" t="s">
        <v>1183</v>
      </c>
      <c r="G13" s="44" t="s">
        <v>1151</v>
      </c>
      <c r="H13" s="44" t="s">
        <v>1184</v>
      </c>
      <c r="I13" s="44">
        <v>2064.9</v>
      </c>
      <c r="J13" s="88">
        <v>95.4</v>
      </c>
      <c r="K13" s="156">
        <v>140000</v>
      </c>
      <c r="L13" s="156">
        <v>180000</v>
      </c>
      <c r="M13" s="156">
        <v>250000</v>
      </c>
      <c r="N13" s="49" t="s">
        <v>39</v>
      </c>
      <c r="O13" s="44" t="s">
        <v>1185</v>
      </c>
    </row>
    <row r="14" s="1" customFormat="1" ht="40" customHeight="1" spans="1:15">
      <c r="A14" s="40" t="s">
        <v>867</v>
      </c>
      <c r="B14" s="40">
        <v>12</v>
      </c>
      <c r="C14" s="40" t="str">
        <f>_xlfn.DISPIMG("ID_3612EE88D5934574A901D287B93AF116",1)</f>
        <v>=DISPIMG("ID_3612EE88D5934574A901D287B93AF116",1)</v>
      </c>
      <c r="D14" s="40" t="s">
        <v>1186</v>
      </c>
      <c r="E14" s="43" t="s">
        <v>1187</v>
      </c>
      <c r="F14" s="43" t="s">
        <v>1188</v>
      </c>
      <c r="G14" s="43" t="s">
        <v>717</v>
      </c>
      <c r="H14" s="43" t="s">
        <v>1189</v>
      </c>
      <c r="I14" s="123">
        <v>575.7</v>
      </c>
      <c r="J14" s="157">
        <v>18.8</v>
      </c>
      <c r="K14" s="158">
        <v>250000</v>
      </c>
      <c r="L14" s="158">
        <v>280000</v>
      </c>
      <c r="M14" s="158">
        <v>300000</v>
      </c>
      <c r="N14" s="43" t="s">
        <v>1190</v>
      </c>
      <c r="O14" s="43" t="s">
        <v>413</v>
      </c>
    </row>
    <row r="15" s="1" customFormat="1" ht="40" customHeight="1" spans="1:15">
      <c r="A15" s="44" t="s">
        <v>867</v>
      </c>
      <c r="B15" s="49">
        <v>13</v>
      </c>
      <c r="C15" s="45" t="str">
        <f>_xlfn.DISPIMG("ID_0CBF9193802644CAB0966EFF5519F696",1)</f>
        <v>=DISPIMG("ID_0CBF9193802644CAB0966EFF5519F696",1)</v>
      </c>
      <c r="D15" s="44" t="s">
        <v>1191</v>
      </c>
      <c r="E15" s="49" t="s">
        <v>1192</v>
      </c>
      <c r="F15" s="44" t="s">
        <v>1193</v>
      </c>
      <c r="G15" s="44" t="s">
        <v>1194</v>
      </c>
      <c r="H15" s="44" t="s">
        <v>1195</v>
      </c>
      <c r="I15" s="44">
        <v>736.8</v>
      </c>
      <c r="J15" s="88">
        <v>47.7</v>
      </c>
      <c r="K15" s="156">
        <v>70000</v>
      </c>
      <c r="L15" s="156">
        <v>90000</v>
      </c>
      <c r="M15" s="156">
        <v>100000</v>
      </c>
      <c r="N15" s="49" t="s">
        <v>1196</v>
      </c>
      <c r="O15" s="44" t="s">
        <v>413</v>
      </c>
    </row>
    <row r="16" s="1" customFormat="1" ht="40" customHeight="1" spans="1:15">
      <c r="A16" s="40" t="s">
        <v>867</v>
      </c>
      <c r="B16" s="40">
        <v>14</v>
      </c>
      <c r="C16" s="40" t="str">
        <f>_xlfn.DISPIMG("ID_814BC76440B1456F839F54E2CD83E197",1)</f>
        <v>=DISPIMG("ID_814BC76440B1456F839F54E2CD83E197",1)</v>
      </c>
      <c r="D16" s="40" t="s">
        <v>1197</v>
      </c>
      <c r="E16" s="43" t="s">
        <v>1198</v>
      </c>
      <c r="F16" s="43" t="s">
        <v>1199</v>
      </c>
      <c r="G16" s="43" t="s">
        <v>1200</v>
      </c>
      <c r="H16" s="43" t="s">
        <v>1201</v>
      </c>
      <c r="I16" s="123">
        <v>468.5</v>
      </c>
      <c r="J16" s="157">
        <v>52.4</v>
      </c>
      <c r="K16" s="158">
        <v>85000</v>
      </c>
      <c r="L16" s="158">
        <v>100000</v>
      </c>
      <c r="M16" s="158">
        <v>120000</v>
      </c>
      <c r="N16" s="43" t="s">
        <v>1202</v>
      </c>
      <c r="O16" s="43" t="s">
        <v>1203</v>
      </c>
    </row>
    <row r="17" s="1" customFormat="1" ht="40" customHeight="1" spans="1:15">
      <c r="A17" s="44" t="s">
        <v>867</v>
      </c>
      <c r="B17" s="49">
        <v>15</v>
      </c>
      <c r="C17" s="45" t="str">
        <f>_xlfn.DISPIMG("ID_EFD4636F92FA47B094206FC19E23EC7A",1)</f>
        <v>=DISPIMG("ID_EFD4636F92FA47B094206FC19E23EC7A",1)</v>
      </c>
      <c r="D17" s="44" t="s">
        <v>1204</v>
      </c>
      <c r="E17" s="49" t="s">
        <v>1205</v>
      </c>
      <c r="F17" s="44">
        <v>5919346</v>
      </c>
      <c r="G17" s="44" t="s">
        <v>1206</v>
      </c>
      <c r="H17" s="44" t="s">
        <v>1207</v>
      </c>
      <c r="I17" s="44">
        <v>307.5</v>
      </c>
      <c r="J17" s="88">
        <v>358.5</v>
      </c>
      <c r="K17" s="156">
        <v>19000</v>
      </c>
      <c r="L17" s="156">
        <v>24300</v>
      </c>
      <c r="M17" s="156">
        <v>30000</v>
      </c>
      <c r="N17" s="49" t="s">
        <v>1208</v>
      </c>
      <c r="O17" s="44" t="s">
        <v>43</v>
      </c>
    </row>
    <row r="18" s="1" customFormat="1" ht="40" customHeight="1" spans="1:15">
      <c r="A18" s="40" t="s">
        <v>867</v>
      </c>
      <c r="B18" s="40">
        <v>16</v>
      </c>
      <c r="C18" s="40" t="str">
        <f>_xlfn.DISPIMG("ID_730B0317D023468F91CFCE89195B0DCA",1)</f>
        <v>=DISPIMG("ID_730B0317D023468F91CFCE89195B0DCA",1)</v>
      </c>
      <c r="D18" s="40" t="s">
        <v>1209</v>
      </c>
      <c r="E18" s="43" t="s">
        <v>1210</v>
      </c>
      <c r="F18" s="43" t="s">
        <v>1211</v>
      </c>
      <c r="G18" s="43" t="s">
        <v>187</v>
      </c>
      <c r="H18" s="43" t="s">
        <v>1212</v>
      </c>
      <c r="I18" s="123">
        <v>312.1</v>
      </c>
      <c r="J18" s="157">
        <v>155.5</v>
      </c>
      <c r="K18" s="158">
        <v>58000</v>
      </c>
      <c r="L18" s="158">
        <v>64000</v>
      </c>
      <c r="M18" s="158">
        <v>71000</v>
      </c>
      <c r="N18" s="43" t="s">
        <v>1213</v>
      </c>
      <c r="O18" s="43" t="s">
        <v>1214</v>
      </c>
    </row>
    <row r="19" s="1" customFormat="1" ht="40" customHeight="1" spans="1:15">
      <c r="A19" s="44" t="s">
        <v>867</v>
      </c>
      <c r="B19" s="49">
        <v>17</v>
      </c>
      <c r="C19" s="45" t="str">
        <f>_xlfn.DISPIMG("ID_0B01EE3AE8F24C9EA8ABA8274A248C0D",1)</f>
        <v>=DISPIMG("ID_0B01EE3AE8F24C9EA8ABA8274A248C0D",1)</v>
      </c>
      <c r="D19" s="44" t="s">
        <v>1215</v>
      </c>
      <c r="E19" s="49" t="s">
        <v>1216</v>
      </c>
      <c r="F19" s="44" t="s">
        <v>1217</v>
      </c>
      <c r="G19" s="44" t="s">
        <v>1218</v>
      </c>
      <c r="H19" s="44" t="s">
        <v>1219</v>
      </c>
      <c r="I19" s="44">
        <v>242.8</v>
      </c>
      <c r="J19" s="88">
        <v>115.3</v>
      </c>
      <c r="K19" s="156">
        <v>72000</v>
      </c>
      <c r="L19" s="156">
        <v>78000</v>
      </c>
      <c r="M19" s="156">
        <v>85000</v>
      </c>
      <c r="N19" s="49" t="s">
        <v>1220</v>
      </c>
      <c r="O19" s="44" t="s">
        <v>1221</v>
      </c>
    </row>
    <row r="20" s="1" customFormat="1" ht="40" customHeight="1" spans="1:15">
      <c r="A20" s="40" t="s">
        <v>867</v>
      </c>
      <c r="B20" s="40">
        <v>18</v>
      </c>
      <c r="C20" s="40" t="str">
        <f>_xlfn.DISPIMG("ID_042A9AA6863D4347BF071C0505BB7101",1)</f>
        <v>=DISPIMG("ID_042A9AA6863D4347BF071C0505BB7101",1)</v>
      </c>
      <c r="D20" s="40" t="s">
        <v>1222</v>
      </c>
      <c r="E20" s="43" t="s">
        <v>1223</v>
      </c>
      <c r="F20" s="43" t="s">
        <v>1224</v>
      </c>
      <c r="G20" s="43" t="s">
        <v>1225</v>
      </c>
      <c r="H20" s="43" t="s">
        <v>1226</v>
      </c>
      <c r="I20" s="123">
        <v>156.3</v>
      </c>
      <c r="J20" s="157">
        <v>412.4</v>
      </c>
      <c r="K20" s="158">
        <v>21600</v>
      </c>
      <c r="L20" s="158">
        <v>45000</v>
      </c>
      <c r="M20" s="158">
        <v>55000</v>
      </c>
      <c r="N20" s="43" t="s">
        <v>1227</v>
      </c>
      <c r="O20" s="43" t="s">
        <v>779</v>
      </c>
    </row>
    <row r="21" s="1" customFormat="1" ht="40" customHeight="1" spans="1:15">
      <c r="A21" s="44" t="s">
        <v>867</v>
      </c>
      <c r="B21" s="49">
        <v>19</v>
      </c>
      <c r="C21" s="45" t="str">
        <f>_xlfn.DISPIMG("ID_CE7BCC6A91624D2CB1729F2763EA041C",1)</f>
        <v>=DISPIMG("ID_CE7BCC6A91624D2CB1729F2763EA041C",1)</v>
      </c>
      <c r="D21" s="44" t="s">
        <v>1228</v>
      </c>
      <c r="E21" s="49" t="s">
        <v>1229</v>
      </c>
      <c r="F21" s="44">
        <v>3166364</v>
      </c>
      <c r="G21" s="44" t="s">
        <v>619</v>
      </c>
      <c r="H21" s="44" t="s">
        <v>1230</v>
      </c>
      <c r="I21" s="44">
        <v>152.7</v>
      </c>
      <c r="J21" s="88">
        <v>147</v>
      </c>
      <c r="K21" s="156">
        <v>40000</v>
      </c>
      <c r="L21" s="156">
        <v>58000</v>
      </c>
      <c r="M21" s="156">
        <v>75000</v>
      </c>
      <c r="N21" s="49" t="s">
        <v>1231</v>
      </c>
      <c r="O21" s="44" t="s">
        <v>413</v>
      </c>
    </row>
    <row r="22" s="1" customFormat="1" ht="40" customHeight="1" spans="1:15">
      <c r="A22" s="40" t="s">
        <v>867</v>
      </c>
      <c r="B22" s="40">
        <v>20</v>
      </c>
      <c r="C22" s="40" t="str">
        <f>_xlfn.DISPIMG("ID_9E9EC13F78C54133AB32AE14184AA937",1)</f>
        <v>=DISPIMG("ID_9E9EC13F78C54133AB32AE14184AA937",1)</v>
      </c>
      <c r="D22" s="40" t="s">
        <v>1232</v>
      </c>
      <c r="E22" s="43" t="s">
        <v>1233</v>
      </c>
      <c r="F22" s="43">
        <v>1308037212</v>
      </c>
      <c r="G22" s="43" t="s">
        <v>1234</v>
      </c>
      <c r="H22" s="43" t="s">
        <v>1235</v>
      </c>
      <c r="I22" s="123">
        <v>102.3</v>
      </c>
      <c r="J22" s="157" t="s">
        <v>39</v>
      </c>
      <c r="K22" s="158">
        <v>35000</v>
      </c>
      <c r="L22" s="158">
        <v>55000</v>
      </c>
      <c r="M22" s="158">
        <v>60000</v>
      </c>
      <c r="N22" s="43" t="s">
        <v>1236</v>
      </c>
      <c r="O22" s="43" t="s">
        <v>413</v>
      </c>
    </row>
    <row r="23" s="1" customFormat="1" ht="40" customHeight="1" spans="1:15">
      <c r="A23" s="44" t="s">
        <v>1237</v>
      </c>
      <c r="B23" s="49">
        <v>21</v>
      </c>
      <c r="C23" s="45" t="str">
        <f>_xlfn.DISPIMG("ID_63090E4CF6604B89B983FCA4F74AF984",1)</f>
        <v>=DISPIMG("ID_63090E4CF6604B89B983FCA4F74AF984",1)</v>
      </c>
      <c r="D23" s="44" t="s">
        <v>1238</v>
      </c>
      <c r="E23" s="49" t="s">
        <v>1239</v>
      </c>
      <c r="F23" s="44" t="s">
        <v>1240</v>
      </c>
      <c r="G23" s="44" t="s">
        <v>1237</v>
      </c>
      <c r="H23" s="44" t="s">
        <v>1241</v>
      </c>
      <c r="I23" s="44">
        <v>266.3</v>
      </c>
      <c r="J23" s="88">
        <v>70.2</v>
      </c>
      <c r="K23" s="156">
        <v>50000</v>
      </c>
      <c r="L23" s="156">
        <v>60000</v>
      </c>
      <c r="M23" s="156">
        <v>80000</v>
      </c>
      <c r="N23" s="49" t="s">
        <v>1242</v>
      </c>
      <c r="O23" s="44" t="s">
        <v>843</v>
      </c>
    </row>
    <row r="24" s="1" customFormat="1" ht="40" customHeight="1" spans="1:15">
      <c r="A24" s="40" t="s">
        <v>1243</v>
      </c>
      <c r="B24" s="40">
        <v>22</v>
      </c>
      <c r="C24" s="40" t="str">
        <f>_xlfn.DISPIMG("ID_1B3B087BDDEB46D0B42DC1E122EFFB85",1)</f>
        <v>=DISPIMG("ID_1B3B087BDDEB46D0B42DC1E122EFFB85",1)</v>
      </c>
      <c r="D24" s="40" t="s">
        <v>1244</v>
      </c>
      <c r="E24" s="43" t="s">
        <v>1245</v>
      </c>
      <c r="F24" s="43" t="s">
        <v>1246</v>
      </c>
      <c r="G24" s="43" t="s">
        <v>1247</v>
      </c>
      <c r="H24" s="43" t="s">
        <v>1248</v>
      </c>
      <c r="I24" s="123">
        <v>14.7</v>
      </c>
      <c r="J24" s="157">
        <v>16.7</v>
      </c>
      <c r="K24" s="158">
        <v>12800</v>
      </c>
      <c r="L24" s="158">
        <v>16800</v>
      </c>
      <c r="M24" s="158">
        <v>31800</v>
      </c>
      <c r="N24" s="43" t="s">
        <v>1249</v>
      </c>
      <c r="O24" s="43" t="s">
        <v>779</v>
      </c>
    </row>
    <row r="25" s="1" customFormat="1" ht="40" customHeight="1" spans="1:15">
      <c r="A25" s="44" t="s">
        <v>1250</v>
      </c>
      <c r="B25" s="49">
        <v>23</v>
      </c>
      <c r="C25" s="45" t="str">
        <f>_xlfn.DISPIMG("ID_AA2D2A5BCE8645FFB273E13C73B42B7C",1)</f>
        <v>=DISPIMG("ID_AA2D2A5BCE8645FFB273E13C73B42B7C",1)</v>
      </c>
      <c r="D25" s="44" t="s">
        <v>1251</v>
      </c>
      <c r="E25" s="49" t="s">
        <v>1252</v>
      </c>
      <c r="F25" s="44" t="s">
        <v>1253</v>
      </c>
      <c r="G25" s="44" t="s">
        <v>1254</v>
      </c>
      <c r="H25" s="44" t="s">
        <v>1255</v>
      </c>
      <c r="I25" s="44">
        <v>481.1</v>
      </c>
      <c r="J25" s="88">
        <v>297.8</v>
      </c>
      <c r="K25" s="156">
        <v>76000</v>
      </c>
      <c r="L25" s="156">
        <v>130000</v>
      </c>
      <c r="M25" s="156">
        <v>150000</v>
      </c>
      <c r="N25" s="49" t="s">
        <v>1256</v>
      </c>
      <c r="O25" s="44" t="s">
        <v>843</v>
      </c>
    </row>
    <row r="26" s="1" customFormat="1" ht="40" customHeight="1" spans="1:15">
      <c r="A26" s="40" t="s">
        <v>1250</v>
      </c>
      <c r="B26" s="40">
        <v>24</v>
      </c>
      <c r="C26" s="40" t="str">
        <f>_xlfn.DISPIMG("ID_3BDCE9C73163449FA640B821CC7AD18E",1)</f>
        <v>=DISPIMG("ID_3BDCE9C73163449FA640B821CC7AD18E",1)</v>
      </c>
      <c r="D26" s="40" t="s">
        <v>1257</v>
      </c>
      <c r="E26" s="43" t="s">
        <v>1258</v>
      </c>
      <c r="F26" s="43" t="s">
        <v>1259</v>
      </c>
      <c r="G26" s="43" t="s">
        <v>1254</v>
      </c>
      <c r="H26" s="43" t="s">
        <v>1260</v>
      </c>
      <c r="I26" s="123">
        <v>244.8</v>
      </c>
      <c r="J26" s="157">
        <v>65.5</v>
      </c>
      <c r="K26" s="158">
        <v>22000</v>
      </c>
      <c r="L26" s="158">
        <v>30000</v>
      </c>
      <c r="M26" s="158">
        <v>38000</v>
      </c>
      <c r="N26" s="43" t="s">
        <v>39</v>
      </c>
      <c r="O26" s="43" t="s">
        <v>886</v>
      </c>
    </row>
    <row r="27" s="1" customFormat="1" ht="40" customHeight="1" spans="1:15">
      <c r="A27" s="44" t="s">
        <v>1250</v>
      </c>
      <c r="B27" s="49">
        <v>25</v>
      </c>
      <c r="C27" s="45" t="str">
        <f>_xlfn.DISPIMG("ID_761495A2F924407682D5AF1846219854",1)</f>
        <v>=DISPIMG("ID_761495A2F924407682D5AF1846219854",1)</v>
      </c>
      <c r="D27" s="44" t="s">
        <v>1261</v>
      </c>
      <c r="E27" s="49" t="s">
        <v>1262</v>
      </c>
      <c r="F27" s="44">
        <v>1682586568</v>
      </c>
      <c r="G27" s="44" t="s">
        <v>1263</v>
      </c>
      <c r="H27" s="44" t="s">
        <v>1264</v>
      </c>
      <c r="I27" s="44">
        <v>122.2</v>
      </c>
      <c r="J27" s="88">
        <v>352.7</v>
      </c>
      <c r="K27" s="156">
        <v>20000</v>
      </c>
      <c r="L27" s="156">
        <v>30000</v>
      </c>
      <c r="M27" s="156">
        <v>40000</v>
      </c>
      <c r="N27" s="49" t="s">
        <v>1265</v>
      </c>
      <c r="O27" s="44" t="s">
        <v>402</v>
      </c>
    </row>
    <row r="28" s="1" customFormat="1" ht="40" customHeight="1" spans="1:15">
      <c r="A28" s="40" t="s">
        <v>1250</v>
      </c>
      <c r="B28" s="40">
        <v>26</v>
      </c>
      <c r="C28" s="40" t="str">
        <f>_xlfn.DISPIMG("ID_5C07DC249D664D0DAC4CBF35D4432619",1)</f>
        <v>=DISPIMG("ID_5C07DC249D664D0DAC4CBF35D4432619",1)</v>
      </c>
      <c r="D28" s="40" t="s">
        <v>1266</v>
      </c>
      <c r="E28" s="43" t="s">
        <v>1267</v>
      </c>
      <c r="F28" s="43" t="s">
        <v>1268</v>
      </c>
      <c r="G28" s="43" t="s">
        <v>1269</v>
      </c>
      <c r="H28" s="43" t="s">
        <v>1270</v>
      </c>
      <c r="I28" s="123">
        <v>289.7</v>
      </c>
      <c r="J28" s="157">
        <v>17.3</v>
      </c>
      <c r="K28" s="158">
        <v>31200</v>
      </c>
      <c r="L28" s="158">
        <v>39000</v>
      </c>
      <c r="M28" s="158">
        <v>54000</v>
      </c>
      <c r="N28" s="43" t="s">
        <v>1271</v>
      </c>
      <c r="O28" s="43" t="s">
        <v>886</v>
      </c>
    </row>
    <row r="29" s="1" customFormat="1" ht="40" customHeight="1" spans="1:15">
      <c r="A29" s="44" t="s">
        <v>1250</v>
      </c>
      <c r="B29" s="49">
        <v>27</v>
      </c>
      <c r="C29" s="45" t="str">
        <f>_xlfn.DISPIMG("ID_951FD68B9AF343ADBDA89E3CD33BBC08",1)</f>
        <v>=DISPIMG("ID_951FD68B9AF343ADBDA89E3CD33BBC08",1)</v>
      </c>
      <c r="D29" s="44" t="s">
        <v>1272</v>
      </c>
      <c r="E29" s="49" t="s">
        <v>1273</v>
      </c>
      <c r="F29" s="44" t="s">
        <v>1274</v>
      </c>
      <c r="G29" s="44" t="s">
        <v>1263</v>
      </c>
      <c r="H29" s="44" t="s">
        <v>1275</v>
      </c>
      <c r="I29" s="44">
        <v>172.4</v>
      </c>
      <c r="J29" s="88">
        <v>172.2</v>
      </c>
      <c r="K29" s="156">
        <v>28000</v>
      </c>
      <c r="L29" s="156">
        <v>35000</v>
      </c>
      <c r="M29" s="156">
        <v>42000</v>
      </c>
      <c r="N29" s="49" t="s">
        <v>39</v>
      </c>
      <c r="O29" s="44" t="s">
        <v>886</v>
      </c>
    </row>
    <row r="30" s="1" customFormat="1" ht="40" customHeight="1" spans="1:15">
      <c r="A30" s="40" t="s">
        <v>1250</v>
      </c>
      <c r="B30" s="40">
        <v>28</v>
      </c>
      <c r="C30" s="40" t="str">
        <f>_xlfn.DISPIMG("ID_5FBD3AADE5A8499AAD44448BAFF3AB1B",1)</f>
        <v>=DISPIMG("ID_5FBD3AADE5A8499AAD44448BAFF3AB1B",1)</v>
      </c>
      <c r="D30" s="40" t="s">
        <v>1276</v>
      </c>
      <c r="E30" s="43" t="s">
        <v>1277</v>
      </c>
      <c r="F30" s="43" t="s">
        <v>1278</v>
      </c>
      <c r="G30" s="43" t="s">
        <v>1263</v>
      </c>
      <c r="H30" s="43" t="s">
        <v>1279</v>
      </c>
      <c r="I30" s="123">
        <v>72.4</v>
      </c>
      <c r="J30" s="157">
        <v>48.8</v>
      </c>
      <c r="K30" s="158">
        <v>15000</v>
      </c>
      <c r="L30" s="158">
        <v>22000</v>
      </c>
      <c r="M30" s="158">
        <v>28000</v>
      </c>
      <c r="N30" s="43" t="s">
        <v>39</v>
      </c>
      <c r="O30" s="43" t="s">
        <v>886</v>
      </c>
    </row>
    <row r="31" s="1" customFormat="1" ht="40" customHeight="1" spans="1:15">
      <c r="A31" s="44" t="s">
        <v>516</v>
      </c>
      <c r="B31" s="49">
        <v>29</v>
      </c>
      <c r="C31" s="45" t="str">
        <f>_xlfn.DISPIMG("ID_C5E246FCA791438196769AD06E435DBF",1)</f>
        <v>=DISPIMG("ID_C5E246FCA791438196769AD06E435DBF",1)</v>
      </c>
      <c r="D31" s="44" t="s">
        <v>1280</v>
      </c>
      <c r="E31" s="49" t="s">
        <v>1281</v>
      </c>
      <c r="F31" s="44" t="s">
        <v>1282</v>
      </c>
      <c r="G31" s="44" t="s">
        <v>516</v>
      </c>
      <c r="H31" s="44" t="s">
        <v>1283</v>
      </c>
      <c r="I31" s="44">
        <v>320.4</v>
      </c>
      <c r="J31" s="88">
        <v>34.4</v>
      </c>
      <c r="K31" s="156">
        <v>26000</v>
      </c>
      <c r="L31" s="156">
        <v>38000</v>
      </c>
      <c r="M31" s="156">
        <v>45000</v>
      </c>
      <c r="N31" s="49" t="s">
        <v>39</v>
      </c>
      <c r="O31" s="44" t="s">
        <v>43</v>
      </c>
    </row>
    <row r="32" s="1" customFormat="1" ht="40" customHeight="1" spans="1:15">
      <c r="A32" s="40" t="s">
        <v>516</v>
      </c>
      <c r="B32" s="40">
        <v>30</v>
      </c>
      <c r="C32" s="40" t="str">
        <f>_xlfn.DISPIMG("ID_4390B0010FEE44C9B5A3D6C8B9DE9FC1",1)</f>
        <v>=DISPIMG("ID_4390B0010FEE44C9B5A3D6C8B9DE9FC1",1)</v>
      </c>
      <c r="D32" s="40" t="s">
        <v>1284</v>
      </c>
      <c r="E32" s="43" t="s">
        <v>1285</v>
      </c>
      <c r="F32" s="43" t="s">
        <v>1286</v>
      </c>
      <c r="G32" s="43" t="s">
        <v>59</v>
      </c>
      <c r="H32" s="43" t="s">
        <v>1287</v>
      </c>
      <c r="I32" s="123">
        <v>227.5</v>
      </c>
      <c r="J32" s="157">
        <v>292.5</v>
      </c>
      <c r="K32" s="158">
        <v>60000</v>
      </c>
      <c r="L32" s="158">
        <v>71000</v>
      </c>
      <c r="M32" s="158">
        <v>84000</v>
      </c>
      <c r="N32" s="43" t="s">
        <v>1288</v>
      </c>
      <c r="O32" s="43" t="s">
        <v>43</v>
      </c>
    </row>
    <row r="33" s="1" customFormat="1" ht="40" customHeight="1" spans="1:15">
      <c r="A33" s="44" t="s">
        <v>516</v>
      </c>
      <c r="B33" s="49">
        <v>31</v>
      </c>
      <c r="C33" s="45" t="str">
        <f>_xlfn.DISPIMG("ID_6CC9BDC92F1045FCAC830843B1763C85",1)</f>
        <v>=DISPIMG("ID_6CC9BDC92F1045FCAC830843B1763C85",1)</v>
      </c>
      <c r="D33" s="44" t="s">
        <v>1289</v>
      </c>
      <c r="E33" s="49" t="s">
        <v>1290</v>
      </c>
      <c r="F33" s="44" t="s">
        <v>1291</v>
      </c>
      <c r="G33" s="44" t="s">
        <v>516</v>
      </c>
      <c r="H33" s="44" t="s">
        <v>1292</v>
      </c>
      <c r="I33" s="44">
        <v>153.1</v>
      </c>
      <c r="J33" s="88">
        <v>101.3</v>
      </c>
      <c r="K33" s="156">
        <v>30000</v>
      </c>
      <c r="L33" s="156">
        <v>35000</v>
      </c>
      <c r="M33" s="156">
        <v>45000</v>
      </c>
      <c r="N33" s="49" t="s">
        <v>1293</v>
      </c>
      <c r="O33" s="44" t="s">
        <v>413</v>
      </c>
    </row>
    <row r="34" s="1" customFormat="1" ht="40" customHeight="1" spans="1:15">
      <c r="A34" s="40" t="s">
        <v>516</v>
      </c>
      <c r="B34" s="40">
        <v>32</v>
      </c>
      <c r="C34" s="40" t="str">
        <f>_xlfn.DISPIMG("ID_3D0895DB568B4559B7AC54257B672534",1)</f>
        <v>=DISPIMG("ID_3D0895DB568B4559B7AC54257B672534",1)</v>
      </c>
      <c r="D34" s="40" t="s">
        <v>1294</v>
      </c>
      <c r="E34" s="43" t="s">
        <v>1295</v>
      </c>
      <c r="F34" s="43" t="s">
        <v>1296</v>
      </c>
      <c r="G34" s="43" t="s">
        <v>516</v>
      </c>
      <c r="H34" s="43" t="s">
        <v>1297</v>
      </c>
      <c r="I34" s="123">
        <v>65.4</v>
      </c>
      <c r="J34" s="157">
        <v>462.1</v>
      </c>
      <c r="K34" s="158">
        <v>16000</v>
      </c>
      <c r="L34" s="158">
        <v>18000</v>
      </c>
      <c r="M34" s="158">
        <v>25000</v>
      </c>
      <c r="N34" s="43" t="s">
        <v>1298</v>
      </c>
      <c r="O34" s="43" t="s">
        <v>43</v>
      </c>
    </row>
    <row r="35" s="1" customFormat="1" ht="40" customHeight="1" spans="1:15">
      <c r="A35" s="44" t="s">
        <v>516</v>
      </c>
      <c r="B35" s="49">
        <v>33</v>
      </c>
      <c r="C35" s="45" t="str">
        <f>_xlfn.DISPIMG("ID_F02E829ADFC347619D451B622CB610EA",1)</f>
        <v>=DISPIMG("ID_F02E829ADFC347619D451B622CB610EA",1)</v>
      </c>
      <c r="D35" s="44" t="s">
        <v>1299</v>
      </c>
      <c r="E35" s="49" t="s">
        <v>1300</v>
      </c>
      <c r="F35" s="44" t="s">
        <v>1301</v>
      </c>
      <c r="G35" s="44" t="s">
        <v>516</v>
      </c>
      <c r="H35" s="44" t="s">
        <v>1302</v>
      </c>
      <c r="I35" s="44">
        <v>54.4</v>
      </c>
      <c r="J35" s="88">
        <v>52.8</v>
      </c>
      <c r="K35" s="156">
        <v>14000</v>
      </c>
      <c r="L35" s="156">
        <v>18000</v>
      </c>
      <c r="M35" s="156">
        <v>21000</v>
      </c>
      <c r="N35" s="49" t="s">
        <v>1303</v>
      </c>
      <c r="O35" s="44" t="s">
        <v>413</v>
      </c>
    </row>
    <row r="36" s="1" customFormat="1" ht="40" customHeight="1" spans="1:15">
      <c r="A36" s="40" t="s">
        <v>516</v>
      </c>
      <c r="B36" s="40">
        <v>34</v>
      </c>
      <c r="C36" s="40" t="str">
        <f>_xlfn.DISPIMG("ID_AB0811B705144A9EB90A5C39D8CFB0FC",1)</f>
        <v>=DISPIMG("ID_AB0811B705144A9EB90A5C39D8CFB0FC",1)</v>
      </c>
      <c r="D36" s="40" t="s">
        <v>1304</v>
      </c>
      <c r="E36" s="43" t="s">
        <v>1305</v>
      </c>
      <c r="F36" s="43" t="s">
        <v>1306</v>
      </c>
      <c r="G36" s="43" t="s">
        <v>516</v>
      </c>
      <c r="H36" s="43" t="s">
        <v>1307</v>
      </c>
      <c r="I36" s="123">
        <v>49.1</v>
      </c>
      <c r="J36" s="157">
        <v>88</v>
      </c>
      <c r="K36" s="158">
        <v>10000</v>
      </c>
      <c r="L36" s="158">
        <v>15000</v>
      </c>
      <c r="M36" s="158">
        <v>20000</v>
      </c>
      <c r="N36" s="43" t="s">
        <v>1308</v>
      </c>
      <c r="O36" s="43" t="s">
        <v>1309</v>
      </c>
    </row>
    <row r="37" s="1" customFormat="1" ht="40" customHeight="1" spans="1:15">
      <c r="A37" s="44" t="s">
        <v>1160</v>
      </c>
      <c r="B37" s="49">
        <v>35</v>
      </c>
      <c r="C37" s="45" t="str">
        <f>_xlfn.DISPIMG("ID_1BE1D3D5BDC142DB849E8ADC45855026",1)</f>
        <v>=DISPIMG("ID_1BE1D3D5BDC142DB849E8ADC45855026",1)</v>
      </c>
      <c r="D37" s="44" t="s">
        <v>1310</v>
      </c>
      <c r="E37" s="49" t="s">
        <v>1311</v>
      </c>
      <c r="F37" s="44" t="s">
        <v>1312</v>
      </c>
      <c r="G37" s="44" t="s">
        <v>1313</v>
      </c>
      <c r="H37" s="44" t="s">
        <v>1314</v>
      </c>
      <c r="I37" s="44">
        <v>263.2</v>
      </c>
      <c r="J37" s="88">
        <v>36.7</v>
      </c>
      <c r="K37" s="156">
        <v>150400</v>
      </c>
      <c r="L37" s="156">
        <v>188000</v>
      </c>
      <c r="M37" s="156">
        <v>228000</v>
      </c>
      <c r="N37" s="49" t="s">
        <v>39</v>
      </c>
      <c r="O37" s="44" t="s">
        <v>575</v>
      </c>
    </row>
    <row r="38" s="1" customFormat="1" ht="40" customHeight="1" spans="1:15">
      <c r="A38" s="40" t="s">
        <v>289</v>
      </c>
      <c r="B38" s="40">
        <v>36</v>
      </c>
      <c r="C38" s="40" t="str">
        <f>_xlfn.DISPIMG("ID_D42E536C5EDA4EDD8A56237D9040927D",1)</f>
        <v>=DISPIMG("ID_D42E536C5EDA4EDD8A56237D9040927D",1)</v>
      </c>
      <c r="D38" s="40" t="s">
        <v>1315</v>
      </c>
      <c r="E38" s="43" t="s">
        <v>1316</v>
      </c>
      <c r="F38" s="43" t="s">
        <v>1317</v>
      </c>
      <c r="G38" s="43" t="s">
        <v>1318</v>
      </c>
      <c r="H38" s="43" t="s">
        <v>1319</v>
      </c>
      <c r="I38" s="123">
        <v>228</v>
      </c>
      <c r="J38" s="157">
        <v>102.7</v>
      </c>
      <c r="K38" s="158">
        <v>28000</v>
      </c>
      <c r="L38" s="158">
        <v>35000</v>
      </c>
      <c r="M38" s="158">
        <v>45000</v>
      </c>
      <c r="N38" s="43" t="s">
        <v>1320</v>
      </c>
      <c r="O38" s="43" t="s">
        <v>102</v>
      </c>
    </row>
    <row r="39" s="1" customFormat="1" ht="40" customHeight="1" spans="1:15">
      <c r="A39" s="80" t="s">
        <v>289</v>
      </c>
      <c r="B39" s="150">
        <v>37</v>
      </c>
      <c r="C39" s="145" t="str">
        <f>_xlfn.DISPIMG("ID_B79FA78A6504466B86006391C997951C",1)</f>
        <v>=DISPIMG("ID_B79FA78A6504466B86006391C997951C",1)</v>
      </c>
      <c r="D39" s="80" t="s">
        <v>1321</v>
      </c>
      <c r="E39" s="150" t="s">
        <v>1322</v>
      </c>
      <c r="F39" s="80">
        <v>187982409</v>
      </c>
      <c r="G39" s="80" t="s">
        <v>289</v>
      </c>
      <c r="H39" s="80" t="s">
        <v>1323</v>
      </c>
      <c r="I39" s="80">
        <v>234.5</v>
      </c>
      <c r="J39" s="143" t="s">
        <v>39</v>
      </c>
      <c r="K39" s="159">
        <v>75000</v>
      </c>
      <c r="L39" s="159">
        <v>85000</v>
      </c>
      <c r="M39" s="159">
        <v>95000</v>
      </c>
      <c r="N39" s="150" t="s">
        <v>1324</v>
      </c>
      <c r="O39" s="80" t="s">
        <v>843</v>
      </c>
    </row>
    <row r="40" s="1" customFormat="1" spans="1:15">
      <c r="D40" s="160"/>
      <c r="N40" s="4"/>
    </row>
    <row r="41" s="1" customFormat="1" spans="1:15">
      <c r="D41" s="160"/>
      <c r="N41" s="4"/>
    </row>
  </sheetData>
  <autoFilter xmlns:etc="http://www.wps.cn/officeDocument/2017/etCustomData" ref="A2:O39" etc:filterBottomFollowUsedRange="0">
    <extLst/>
  </autoFilter>
  <mergeCells count="1">
    <mergeCell ref="A1:O1"/>
  </mergeCells>
  <hyperlinks>
    <hyperlink ref="H25" r:id="rId2" display="https://v.douyin.com/LWd4PfQ/"/>
    <hyperlink ref="H18" r:id="rId3" display="https://v.douyin.com/eYqMACg/"/>
    <hyperlink ref="H27" r:id="rId4" display="https://v.douyin.com/Jn8Fe8S/"/>
    <hyperlink ref="H3" r:id="rId5" display="https://v.douyin.com/M3CUn1t/"/>
    <hyperlink ref="H15" r:id="rId6" display="https://v.douyin.com/6QeCELJ/"/>
    <hyperlink ref="H6" r:id="rId7" display="https://v.douyin.com/F52xKBj/"/>
    <hyperlink ref="H28" r:id="rId8" display="https://v.douyin.com/6nnu3ep/"/>
    <hyperlink ref="H11" r:id="rId9" display="https://v.douyin.com/FukGc9y/"/>
    <hyperlink ref="H37" r:id="rId10" display="https://v.douyin.com/iCQLdBJ/"/>
    <hyperlink ref="H39" r:id="rId11" display="https://v.douyin.com/d92Ym7m/"/>
    <hyperlink ref="H19" r:id="rId12" display="https://v.douyin.com/iJsMgCaF/"/>
    <hyperlink ref="H21" r:id="rId13" display="https://v.douyin.com/ie2bqhFJ/"/>
    <hyperlink ref="H38" r:id="rId14" display="https://v.douyin.com/A8oV6Rg/"/>
    <hyperlink ref="H36" r:id="rId15" display="https://v.douyin.com/hL3oFpS/"/>
    <hyperlink ref="H20" r:id="rId16" display="https://v.douyin.com/idbgpq8H/"/>
    <hyperlink ref="H5" r:id="rId17" display="https://v.douyin.com/idgFtebK/"/>
    <hyperlink ref="H16" r:id="rId18" display="https://v.douyin.com/Mso7q78/"/>
    <hyperlink ref="H4" r:id="rId19" display="https://v.douyin.com/EoRCNC/"/>
    <hyperlink ref="H13" r:id="rId20" display="https://v.douyin.com/i2RS3sn4/ 5@1.com"/>
    <hyperlink ref="H33" r:id="rId21" display="https://v.douyin.com/i6jxhjWt/ 0@5.com" tooltip="https://v.douyin.com/i6jxhjWt/ 0@5.com"/>
    <hyperlink ref="H12" r:id="rId22" display="https://v.douyin.com/eVyoRpH/"/>
    <hyperlink ref="H22" r:id="rId23" display="https://v.douyin.com/eVfJN5H/"/>
    <hyperlink ref="H17" r:id="rId24" display="https://v.douyin.com/iFnqKRPt/ 5@4.com"/>
    <hyperlink ref="H26" r:id="rId25" display="https://v.douyin.com/iMnTEUEQ/ 5"/>
    <hyperlink ref="H29" r:id="rId26" display="https://v.douyin.com/iSkaX3wK/ 7@4.com"/>
    <hyperlink ref="H35" r:id="rId27" display="https://v.douyin.com/iJBkt6n2/"/>
    <hyperlink ref="H34" r:id="rId28" display="https://v.douyin.com/iLXhmbEv/"/>
    <hyperlink ref="H24" r:id="rId29" display="https://v.douyin.com/iR6RY8xk/"/>
    <hyperlink ref="H7" r:id="rId30" display="https://v.douyin.com/bmOwXBxZVL0/"/>
    <hyperlink ref="H32" r:id="rId31" display="https://v.douyin.com/qtWVvJiFOXw/"/>
    <hyperlink ref="H9" r:id="rId32" display="https://v.douyin.com/vG6xXKcEm1M/"/>
    <hyperlink ref="H10" r:id="rId33" display="https://v.douyin.com/ijRaTmKu/"/>
    <hyperlink ref="H14" r:id="rId34" display="https://v.douyin.com/8fK-mzMbqx4/ 9@3.com"/>
    <hyperlink ref="H30" r:id="rId35" display="https://v.douyin.com/Rxq1VX9/"/>
    <hyperlink ref="H23" r:id="rId36" display="https://v.douyin.com/b6GOMqiezVg/"/>
    <hyperlink ref="H8" r:id="rId37" display="https://v.douyin.com/i5WxXkUV/"/>
    <hyperlink ref="H31" r:id="rId38" display="https://v.douyin.com/iM2BnUWc/" tooltip="https://v.douyin.com/iM2BnUWc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58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F58" sqref="F58"/>
    </sheetView>
  </sheetViews>
  <sheetFormatPr defaultColWidth="9.81666666666667" defaultRowHeight="14.25"/>
  <cols>
    <col min="1" max="3" width="7.625" style="101" customWidth="1"/>
    <col min="4" max="4" width="14.7583333333333" style="101" customWidth="1"/>
    <col min="5" max="5" width="12.8833333333333" style="101" customWidth="1"/>
    <col min="6" max="6" width="30.625" style="101" customWidth="1"/>
    <col min="7" max="7" width="15.625" style="102" customWidth="1"/>
    <col min="8" max="8" width="10.625" style="101" customWidth="1"/>
    <col min="9" max="10" width="9" style="101" customWidth="1"/>
    <col min="11" max="13" width="18.2583333333333" style="101" customWidth="1"/>
    <col min="14" max="15" width="25.2583333333333" style="101" customWidth="1"/>
    <col min="16" max="16369" width="9" style="101" customWidth="1"/>
    <col min="16370" max="16375" width="9.64166666666667" style="101"/>
    <col min="16376" max="16384" width="9.81666666666667" style="101"/>
  </cols>
  <sheetData>
    <row r="1" s="97" customFormat="1" ht="70" customHeight="1" spans="1:15">
      <c r="A1" s="103" t="s">
        <v>1325</v>
      </c>
      <c r="B1" s="103"/>
      <c r="C1" s="103"/>
      <c r="D1" s="103"/>
      <c r="E1" s="103"/>
      <c r="F1" s="103"/>
      <c r="G1" s="103"/>
      <c r="H1" s="104"/>
      <c r="I1" s="104"/>
      <c r="J1" s="103"/>
      <c r="K1" s="103"/>
      <c r="L1" s="103"/>
      <c r="M1" s="103"/>
      <c r="N1" s="103"/>
      <c r="O1" s="105"/>
    </row>
    <row r="2" s="98" customFormat="1" ht="30" customHeight="1" spans="1:15">
      <c r="A2" s="106" t="s">
        <v>7</v>
      </c>
      <c r="B2" s="106" t="s">
        <v>8</v>
      </c>
      <c r="C2" s="106" t="s">
        <v>9</v>
      </c>
      <c r="D2" s="106" t="s">
        <v>1326</v>
      </c>
      <c r="E2" s="106" t="s">
        <v>1327</v>
      </c>
      <c r="F2" s="106" t="s">
        <v>1328</v>
      </c>
      <c r="G2" s="107" t="s">
        <v>1114</v>
      </c>
      <c r="H2" s="108" t="s">
        <v>1329</v>
      </c>
      <c r="I2" s="108" t="s">
        <v>1330</v>
      </c>
      <c r="J2" s="106" t="s">
        <v>1331</v>
      </c>
      <c r="K2" s="106" t="s">
        <v>1332</v>
      </c>
      <c r="L2" s="106" t="s">
        <v>1333</v>
      </c>
      <c r="M2" s="106" t="s">
        <v>1334</v>
      </c>
      <c r="N2" s="106" t="s">
        <v>1335</v>
      </c>
      <c r="O2" s="106" t="s">
        <v>1336</v>
      </c>
    </row>
    <row r="3" s="99" customFormat="1" ht="25" customHeight="1" spans="1:15">
      <c r="A3" s="109"/>
      <c r="B3" s="109"/>
      <c r="C3" s="109"/>
      <c r="D3" s="109"/>
      <c r="E3" s="109"/>
      <c r="F3" s="109"/>
      <c r="G3" s="109" t="s">
        <v>31</v>
      </c>
      <c r="H3" s="110"/>
      <c r="I3" s="110"/>
      <c r="J3" s="109"/>
      <c r="K3" s="109"/>
      <c r="L3" s="109"/>
      <c r="M3" s="109"/>
      <c r="N3" s="109"/>
      <c r="O3" s="109"/>
    </row>
    <row r="4" s="100" customFormat="1" ht="40" customHeight="1" spans="1:15">
      <c r="A4" s="88">
        <v>1</v>
      </c>
      <c r="B4" s="111" t="s">
        <v>32</v>
      </c>
      <c r="C4" s="88" t="str">
        <f>_xlfn.DISPIMG("ID_654CE2074224454884D7C4F04A1DB808",1)</f>
        <v>=DISPIMG("ID_654CE2074224454884D7C4F04A1DB808",1)</v>
      </c>
      <c r="D4" s="112" t="s">
        <v>33</v>
      </c>
      <c r="E4" s="88">
        <v>8023486810</v>
      </c>
      <c r="F4" s="112" t="s">
        <v>1337</v>
      </c>
      <c r="G4" s="112" t="s">
        <v>1338</v>
      </c>
      <c r="H4" s="88">
        <v>19.6</v>
      </c>
      <c r="I4" s="88">
        <v>92.5</v>
      </c>
      <c r="J4" s="113" t="s">
        <v>43</v>
      </c>
      <c r="K4" s="114">
        <v>350000</v>
      </c>
      <c r="L4" s="114">
        <v>380000</v>
      </c>
      <c r="M4" s="114" t="s">
        <v>39</v>
      </c>
      <c r="N4" s="115" t="s">
        <v>1339</v>
      </c>
      <c r="O4" s="115" t="s">
        <v>39</v>
      </c>
    </row>
    <row r="5" s="100" customFormat="1" ht="40" customHeight="1" spans="1:15">
      <c r="A5" s="18">
        <v>2</v>
      </c>
      <c r="B5" s="116"/>
      <c r="C5" t="str">
        <f>_xlfn.DISPIMG("ID_C180EAF4349344B8B47021073FD519F3",1)</f>
        <v>=DISPIMG("ID_C180EAF4349344B8B47021073FD519F3",1)</v>
      </c>
      <c r="D5" s="17" t="s">
        <v>45</v>
      </c>
      <c r="E5" s="18">
        <v>1598153984</v>
      </c>
      <c r="F5" s="17" t="s">
        <v>1340</v>
      </c>
      <c r="G5" s="17" t="s">
        <v>1338</v>
      </c>
      <c r="H5" s="18">
        <v>3.1</v>
      </c>
      <c r="I5" s="18">
        <v>40.8</v>
      </c>
      <c r="J5" s="117" t="s">
        <v>43</v>
      </c>
      <c r="K5" s="118">
        <v>8000</v>
      </c>
      <c r="L5" s="118">
        <v>10000</v>
      </c>
      <c r="M5" s="118" t="s">
        <v>39</v>
      </c>
      <c r="N5" s="43" t="s">
        <v>1341</v>
      </c>
      <c r="O5" s="43" t="s">
        <v>1342</v>
      </c>
    </row>
    <row r="6" s="99" customFormat="1" ht="25" customHeight="1" spans="1:15">
      <c r="A6" s="119"/>
      <c r="B6" s="119"/>
      <c r="C6" s="119"/>
      <c r="D6" s="119"/>
      <c r="E6" s="119"/>
      <c r="F6" s="119"/>
      <c r="G6" s="119" t="s">
        <v>1343</v>
      </c>
      <c r="H6" s="120"/>
      <c r="I6" s="120"/>
      <c r="J6" s="119"/>
      <c r="K6" s="119"/>
      <c r="L6" s="119"/>
      <c r="M6" s="119"/>
      <c r="N6" s="119"/>
      <c r="O6" s="119"/>
    </row>
    <row r="7" s="100" customFormat="1" ht="40" customHeight="1" spans="1:15">
      <c r="A7" s="88">
        <v>3</v>
      </c>
      <c r="B7" s="121"/>
      <c r="C7" s="88" t="str">
        <f>_xlfn.DISPIMG("ID_A6675DD95B294FC2ACC30F776E4AB778",1)</f>
        <v>=DISPIMG("ID_A6675DD95B294FC2ACC30F776E4AB778",1)</v>
      </c>
      <c r="D7" s="88" t="s">
        <v>658</v>
      </c>
      <c r="E7" s="88">
        <v>981277009</v>
      </c>
      <c r="F7" s="112" t="s">
        <v>1344</v>
      </c>
      <c r="G7" s="112" t="s">
        <v>1345</v>
      </c>
      <c r="H7" s="88">
        <v>41.3</v>
      </c>
      <c r="I7" s="88">
        <v>1111.8</v>
      </c>
      <c r="J7" s="113" t="s">
        <v>402</v>
      </c>
      <c r="K7" s="114">
        <v>45000</v>
      </c>
      <c r="L7" s="114">
        <v>60000</v>
      </c>
      <c r="M7" s="122" t="s">
        <v>1346</v>
      </c>
      <c r="N7" s="49" t="s">
        <v>1347</v>
      </c>
      <c r="O7" s="115" t="s">
        <v>1348</v>
      </c>
    </row>
    <row r="8" s="100" customFormat="1" ht="40" customHeight="1" spans="1:15">
      <c r="A8" s="85">
        <v>4</v>
      </c>
      <c r="B8" s="116"/>
      <c r="C8" t="str">
        <f>_xlfn.DISPIMG("ID_E087719546474FE096C56135EBBC5D5A",1)</f>
        <v>=DISPIMG("ID_E087719546474FE096C56135EBBC5D5A",1)</v>
      </c>
      <c r="D8" s="85" t="s">
        <v>502</v>
      </c>
      <c r="E8" s="85" t="s">
        <v>1349</v>
      </c>
      <c r="F8" s="123" t="s">
        <v>1350</v>
      </c>
      <c r="G8" s="123" t="s">
        <v>1351</v>
      </c>
      <c r="H8" s="85">
        <v>41</v>
      </c>
      <c r="I8" s="85">
        <v>414.5</v>
      </c>
      <c r="J8" s="124" t="s">
        <v>43</v>
      </c>
      <c r="K8" s="125">
        <v>38000</v>
      </c>
      <c r="L8" s="125">
        <v>58000</v>
      </c>
      <c r="M8" s="125" t="s">
        <v>39</v>
      </c>
      <c r="N8" s="43" t="s">
        <v>1352</v>
      </c>
      <c r="O8" s="126" t="s">
        <v>1353</v>
      </c>
    </row>
    <row r="9" s="100" customFormat="1" ht="40" customHeight="1" spans="1:15">
      <c r="A9" s="88">
        <v>5</v>
      </c>
      <c r="B9" s="121"/>
      <c r="C9" s="88" t="str">
        <f>_xlfn.DISPIMG("ID_2D5765BFE8F6423B87A32A48EFC80740",1)</f>
        <v>=DISPIMG("ID_2D5765BFE8F6423B87A32A48EFC80740",1)</v>
      </c>
      <c r="D9" s="112" t="s">
        <v>992</v>
      </c>
      <c r="E9" s="88">
        <v>264471123</v>
      </c>
      <c r="F9" s="112" t="s">
        <v>1354</v>
      </c>
      <c r="G9" s="112" t="s">
        <v>1355</v>
      </c>
      <c r="H9" s="88">
        <v>22.5</v>
      </c>
      <c r="I9" s="88">
        <v>115.6</v>
      </c>
      <c r="J9" s="113" t="s">
        <v>702</v>
      </c>
      <c r="K9" s="114">
        <v>20000</v>
      </c>
      <c r="L9" s="114">
        <v>30000</v>
      </c>
      <c r="M9" s="122" t="s">
        <v>1356</v>
      </c>
      <c r="N9" s="49" t="s">
        <v>1357</v>
      </c>
      <c r="O9" s="115" t="s">
        <v>1358</v>
      </c>
    </row>
    <row r="10" s="100" customFormat="1" ht="40" customHeight="1" spans="1:15">
      <c r="A10" s="85">
        <v>6</v>
      </c>
      <c r="B10" s="116"/>
      <c r="C10" s="85" t="str">
        <f>_xlfn.DISPIMG("ID_A901C43D8D0844FA863B63A9A0F6D4AF",1)</f>
        <v>=DISPIMG("ID_A901C43D8D0844FA863B63A9A0F6D4AF",1)</v>
      </c>
      <c r="D10" s="85" t="s">
        <v>1359</v>
      </c>
      <c r="E10" s="85">
        <v>800230666</v>
      </c>
      <c r="F10" s="123" t="s">
        <v>1360</v>
      </c>
      <c r="G10" s="123" t="s">
        <v>1361</v>
      </c>
      <c r="H10" s="85">
        <v>3.1</v>
      </c>
      <c r="I10" s="85">
        <v>29</v>
      </c>
      <c r="J10" s="124" t="s">
        <v>434</v>
      </c>
      <c r="K10" s="125">
        <v>4200</v>
      </c>
      <c r="L10" s="125">
        <v>6800</v>
      </c>
      <c r="M10" s="125" t="s">
        <v>1362</v>
      </c>
      <c r="N10" s="43" t="s">
        <v>1363</v>
      </c>
      <c r="O10" s="126" t="s">
        <v>1364</v>
      </c>
    </row>
    <row r="11" s="100" customFormat="1" ht="40" customHeight="1" spans="1:15">
      <c r="A11" s="88">
        <v>7</v>
      </c>
      <c r="B11" s="121"/>
      <c r="C11" s="88" t="str">
        <f>_xlfn.DISPIMG("ID_4A55488DBDAD49579EB233663CB69660",1)</f>
        <v>=DISPIMG("ID_4A55488DBDAD49579EB233663CB69660",1)</v>
      </c>
      <c r="D11" s="88" t="s">
        <v>1365</v>
      </c>
      <c r="E11" s="88">
        <v>268654630</v>
      </c>
      <c r="F11" s="112" t="s">
        <v>1366</v>
      </c>
      <c r="G11" s="112" t="s">
        <v>1367</v>
      </c>
      <c r="H11" s="88">
        <v>20.8</v>
      </c>
      <c r="I11" s="88">
        <v>178.4</v>
      </c>
      <c r="J11" s="113" t="s">
        <v>43</v>
      </c>
      <c r="K11" s="114">
        <v>15000</v>
      </c>
      <c r="L11" s="114">
        <v>22000</v>
      </c>
      <c r="M11" s="122" t="s">
        <v>1368</v>
      </c>
      <c r="N11" s="49" t="s">
        <v>1369</v>
      </c>
      <c r="O11" s="115" t="s">
        <v>1370</v>
      </c>
    </row>
    <row r="12" s="100" customFormat="1" ht="40" customHeight="1" spans="1:15">
      <c r="A12" s="85">
        <v>8</v>
      </c>
      <c r="B12" s="116"/>
      <c r="C12" t="str">
        <f>_xlfn.DISPIMG("ID_86D753D5DE2B472CAA26ACB3512EADAF",1)</f>
        <v>=DISPIMG("ID_86D753D5DE2B472CAA26ACB3512EADAF",1)</v>
      </c>
      <c r="D12" s="85" t="s">
        <v>647</v>
      </c>
      <c r="E12" s="85">
        <v>116774378</v>
      </c>
      <c r="F12" s="123" t="s">
        <v>1371</v>
      </c>
      <c r="G12" s="123" t="s">
        <v>1372</v>
      </c>
      <c r="H12" s="85">
        <v>3.8</v>
      </c>
      <c r="I12" s="85">
        <v>22.1</v>
      </c>
      <c r="J12" s="124" t="s">
        <v>43</v>
      </c>
      <c r="K12" s="125">
        <v>4200</v>
      </c>
      <c r="L12" s="125">
        <v>6800</v>
      </c>
      <c r="M12" s="125" t="s">
        <v>39</v>
      </c>
      <c r="N12" s="43" t="s">
        <v>1373</v>
      </c>
      <c r="O12" s="126" t="s">
        <v>1374</v>
      </c>
    </row>
    <row r="13" s="100" customFormat="1" ht="40" customHeight="1" spans="1:15">
      <c r="A13" s="88">
        <v>9</v>
      </c>
      <c r="B13" s="121"/>
      <c r="C13" s="88" t="str">
        <f>_xlfn.DISPIMG("ID_59B5D26571394E658286ACEEB32111CE",1)</f>
        <v>=DISPIMG("ID_59B5D26571394E658286ACEEB32111CE",1)</v>
      </c>
      <c r="D13" s="88" t="s">
        <v>1375</v>
      </c>
      <c r="E13" s="88" t="s">
        <v>1376</v>
      </c>
      <c r="F13" s="112" t="s">
        <v>1377</v>
      </c>
      <c r="G13" s="112" t="s">
        <v>1378</v>
      </c>
      <c r="H13" s="88">
        <v>47.5</v>
      </c>
      <c r="I13" s="88">
        <v>88.5</v>
      </c>
      <c r="J13" s="113" t="s">
        <v>886</v>
      </c>
      <c r="K13" s="114">
        <v>35000</v>
      </c>
      <c r="L13" s="114">
        <v>39000</v>
      </c>
      <c r="M13" s="122" t="s">
        <v>39</v>
      </c>
      <c r="N13" s="49" t="s">
        <v>1379</v>
      </c>
      <c r="O13" s="115" t="s">
        <v>1380</v>
      </c>
    </row>
    <row r="14" s="99" customFormat="1" ht="25" customHeight="1" spans="1:15">
      <c r="A14" s="127"/>
      <c r="B14" s="127"/>
      <c r="C14" s="127"/>
      <c r="D14" s="127"/>
      <c r="E14" s="127"/>
      <c r="F14" s="127"/>
      <c r="G14" s="128" t="s">
        <v>1381</v>
      </c>
      <c r="H14" s="129"/>
      <c r="I14" s="129"/>
      <c r="J14" s="127"/>
      <c r="K14" s="127"/>
      <c r="L14" s="127"/>
      <c r="M14" s="127"/>
      <c r="N14" s="127"/>
      <c r="O14" s="127"/>
    </row>
    <row r="15" s="100" customFormat="1" ht="40" customHeight="1" spans="1:15">
      <c r="A15" s="88">
        <v>10</v>
      </c>
      <c r="B15" s="121"/>
      <c r="C15" s="45" t="str">
        <f>_xlfn.DISPIMG("ID_612B44CB1D6848CBB0234577403521E6",1)</f>
        <v>=DISPIMG("ID_612B44CB1D6848CBB0234577403521E6",1)</v>
      </c>
      <c r="D15" s="88" t="s">
        <v>747</v>
      </c>
      <c r="E15" s="88" t="s">
        <v>1382</v>
      </c>
      <c r="F15" s="112" t="s">
        <v>1383</v>
      </c>
      <c r="G15" s="112" t="s">
        <v>1384</v>
      </c>
      <c r="H15" s="88">
        <v>17.3</v>
      </c>
      <c r="I15" s="88">
        <v>394.8</v>
      </c>
      <c r="J15" s="113" t="s">
        <v>43</v>
      </c>
      <c r="K15" s="114">
        <v>25000</v>
      </c>
      <c r="L15" s="114">
        <v>35000</v>
      </c>
      <c r="M15" s="114" t="s">
        <v>39</v>
      </c>
      <c r="N15" s="49" t="s">
        <v>1385</v>
      </c>
      <c r="O15" s="115" t="s">
        <v>1386</v>
      </c>
    </row>
    <row r="16" s="100" customFormat="1" ht="40" customHeight="1" spans="1:15">
      <c r="A16" s="85">
        <v>11</v>
      </c>
      <c r="B16" s="85"/>
      <c r="C16" s="39" t="str">
        <f>_xlfn.DISPIMG("ID_30AC8A19BCA44ACEB2336397680E6576",1)</f>
        <v>=DISPIMG("ID_30AC8A19BCA44ACEB2336397680E6576",1)</v>
      </c>
      <c r="D16" s="85" t="s">
        <v>887</v>
      </c>
      <c r="E16" s="85">
        <v>1044861323</v>
      </c>
      <c r="F16" s="123" t="s">
        <v>1387</v>
      </c>
      <c r="G16" s="123" t="s">
        <v>1388</v>
      </c>
      <c r="H16" s="85">
        <v>7.9</v>
      </c>
      <c r="I16" s="85">
        <v>64.1</v>
      </c>
      <c r="J16" s="124" t="s">
        <v>43</v>
      </c>
      <c r="K16" s="125">
        <v>12000</v>
      </c>
      <c r="L16" s="125">
        <v>16000</v>
      </c>
      <c r="M16" s="130" t="s">
        <v>39</v>
      </c>
      <c r="N16" s="131" t="s">
        <v>1389</v>
      </c>
      <c r="O16" s="126" t="s">
        <v>1390</v>
      </c>
    </row>
    <row r="17" s="100" customFormat="1" ht="40" customHeight="1" spans="1:15">
      <c r="A17" s="88">
        <v>12</v>
      </c>
      <c r="B17" s="121"/>
      <c r="C17" s="45" t="str">
        <f>_xlfn.DISPIMG("ID_BDFF3AF9C2294AA489B20ABC23BFEC80",1)</f>
        <v>=DISPIMG("ID_BDFF3AF9C2294AA489B20ABC23BFEC80",1)</v>
      </c>
      <c r="D17" s="88" t="s">
        <v>103</v>
      </c>
      <c r="E17" s="88" t="s">
        <v>1391</v>
      </c>
      <c r="F17" s="112" t="s">
        <v>1392</v>
      </c>
      <c r="G17" s="112" t="s">
        <v>1393</v>
      </c>
      <c r="H17" s="88">
        <v>192</v>
      </c>
      <c r="I17" s="88">
        <v>1554.5</v>
      </c>
      <c r="J17" s="113" t="s">
        <v>43</v>
      </c>
      <c r="K17" s="114">
        <v>35000</v>
      </c>
      <c r="L17" s="114">
        <v>60000</v>
      </c>
      <c r="M17" s="114" t="s">
        <v>1394</v>
      </c>
      <c r="N17" s="49" t="s">
        <v>1395</v>
      </c>
      <c r="O17" s="115" t="s">
        <v>1396</v>
      </c>
    </row>
    <row r="18" s="100" customFormat="1" ht="40" customHeight="1" spans="1:15">
      <c r="A18" s="85">
        <v>13</v>
      </c>
      <c r="B18" s="132" t="s">
        <v>148</v>
      </c>
      <c r="C18" s="39" t="str">
        <f>_xlfn.DISPIMG("ID_9D4BCA200A3A4EB8A0D73854126E75BE",1)</f>
        <v>=DISPIMG("ID_9D4BCA200A3A4EB8A0D73854126E75BE",1)</v>
      </c>
      <c r="D18" s="85" t="s">
        <v>703</v>
      </c>
      <c r="E18" s="85">
        <v>5021647152</v>
      </c>
      <c r="F18" s="123" t="s">
        <v>1397</v>
      </c>
      <c r="G18" s="123" t="s">
        <v>1398</v>
      </c>
      <c r="H18" s="85">
        <v>201.2</v>
      </c>
      <c r="I18" s="85">
        <v>3602.9</v>
      </c>
      <c r="J18" s="124" t="s">
        <v>43</v>
      </c>
      <c r="K18" s="125">
        <v>30000</v>
      </c>
      <c r="L18" s="125">
        <v>110000</v>
      </c>
      <c r="M18" s="130" t="s">
        <v>39</v>
      </c>
      <c r="N18" s="131" t="s">
        <v>1399</v>
      </c>
      <c r="O18" s="126" t="s">
        <v>1400</v>
      </c>
    </row>
    <row r="19" s="100" customFormat="1" ht="40" customHeight="1" spans="1:15">
      <c r="A19" s="88">
        <v>14</v>
      </c>
      <c r="B19" s="121"/>
      <c r="C19" s="45" t="str">
        <f>_xlfn.DISPIMG("ID_4A52CBE6C67044278DDF916306B282E7",1)</f>
        <v>=DISPIMG("ID_4A52CBE6C67044278DDF916306B282E7",1)</v>
      </c>
      <c r="D19" s="88" t="s">
        <v>479</v>
      </c>
      <c r="E19" s="88" t="s">
        <v>1401</v>
      </c>
      <c r="F19" s="112" t="s">
        <v>1402</v>
      </c>
      <c r="G19" s="112" t="s">
        <v>1403</v>
      </c>
      <c r="H19" s="88">
        <v>29.3</v>
      </c>
      <c r="I19" s="88">
        <v>465.1</v>
      </c>
      <c r="J19" s="113" t="s">
        <v>413</v>
      </c>
      <c r="K19" s="114">
        <v>30000</v>
      </c>
      <c r="L19" s="114">
        <v>40000</v>
      </c>
      <c r="M19" s="114" t="s">
        <v>39</v>
      </c>
      <c r="N19" s="49" t="s">
        <v>1404</v>
      </c>
      <c r="O19" s="115" t="s">
        <v>1405</v>
      </c>
    </row>
    <row r="20" s="100" customFormat="1" ht="40" customHeight="1" spans="1:15">
      <c r="A20" s="85">
        <v>15</v>
      </c>
      <c r="B20" s="85"/>
      <c r="C20" s="39" t="str">
        <f>_xlfn.DISPIMG("ID_1D9773756B9F4E2497E24C113846755A",1)</f>
        <v>=DISPIMG("ID_1D9773756B9F4E2497E24C113846755A",1)</v>
      </c>
      <c r="D20" s="85" t="s">
        <v>162</v>
      </c>
      <c r="E20" s="85">
        <v>9498775645</v>
      </c>
      <c r="F20" s="123" t="s">
        <v>1406</v>
      </c>
      <c r="G20" s="123" t="s">
        <v>1407</v>
      </c>
      <c r="H20" s="85">
        <v>97.9</v>
      </c>
      <c r="I20" s="85">
        <v>1325</v>
      </c>
      <c r="J20" s="124" t="s">
        <v>43</v>
      </c>
      <c r="K20" s="125">
        <v>30000</v>
      </c>
      <c r="L20" s="125">
        <v>48000</v>
      </c>
      <c r="M20" s="130" t="s">
        <v>1408</v>
      </c>
      <c r="N20" s="131" t="s">
        <v>1409</v>
      </c>
      <c r="O20" s="126" t="s">
        <v>1410</v>
      </c>
    </row>
    <row r="21" s="100" customFormat="1" ht="40" customHeight="1" spans="1:15">
      <c r="A21" s="88">
        <v>16</v>
      </c>
      <c r="B21" s="121"/>
      <c r="C21" s="88" t="str">
        <f>_xlfn.DISPIMG("ID_5767A78C5061489A86E64A0AA201684F",1)</f>
        <v>=DISPIMG("ID_5767A78C5061489A86E64A0AA201684F",1)</v>
      </c>
      <c r="D21" s="88" t="s">
        <v>1411</v>
      </c>
      <c r="E21" s="112">
        <v>734382264</v>
      </c>
      <c r="F21" s="112" t="s">
        <v>1412</v>
      </c>
      <c r="G21" s="88" t="s">
        <v>1413</v>
      </c>
      <c r="H21" s="88">
        <v>47.7</v>
      </c>
      <c r="I21" s="88">
        <v>376.8</v>
      </c>
      <c r="J21" s="113" t="s">
        <v>43</v>
      </c>
      <c r="K21" s="114">
        <v>25000</v>
      </c>
      <c r="L21" s="114">
        <v>45000</v>
      </c>
      <c r="M21" s="114" t="s">
        <v>39</v>
      </c>
      <c r="N21" s="49" t="s">
        <v>1414</v>
      </c>
      <c r="O21" s="115" t="s">
        <v>1415</v>
      </c>
    </row>
    <row r="22" s="100" customFormat="1" ht="40" customHeight="1" spans="1:15">
      <c r="A22" s="85">
        <v>17</v>
      </c>
      <c r="B22" s="85"/>
      <c r="C22" s="39" t="str">
        <f>_xlfn.DISPIMG("ID_326352DD3DBE49E79F67823EC5634466",1)</f>
        <v>=DISPIMG("ID_326352DD3DBE49E79F67823EC5634466",1)</v>
      </c>
      <c r="D22" s="85" t="s">
        <v>1148</v>
      </c>
      <c r="E22" s="85" t="s">
        <v>1150</v>
      </c>
      <c r="F22" s="123" t="s">
        <v>1416</v>
      </c>
      <c r="G22" s="123" t="s">
        <v>1417</v>
      </c>
      <c r="H22" s="85">
        <v>47.8</v>
      </c>
      <c r="I22" s="85">
        <v>277.1</v>
      </c>
      <c r="J22" s="124" t="s">
        <v>413</v>
      </c>
      <c r="K22" s="125">
        <v>30000</v>
      </c>
      <c r="L22" s="125">
        <v>80000</v>
      </c>
      <c r="M22" s="130" t="s">
        <v>1418</v>
      </c>
      <c r="N22" s="131" t="s">
        <v>1419</v>
      </c>
      <c r="O22" s="126" t="s">
        <v>1420</v>
      </c>
    </row>
    <row r="23" s="100" customFormat="1" ht="40" customHeight="1" spans="1:15">
      <c r="A23" s="88">
        <v>18</v>
      </c>
      <c r="B23" s="121"/>
      <c r="C23" s="45" t="str">
        <f>_xlfn.DISPIMG("ID_1F6039D1EC9A4ED1B5C8363E408EB7BE",1)</f>
        <v>=DISPIMG("ID_1F6039D1EC9A4ED1B5C8363E408EB7BE",1)</v>
      </c>
      <c r="D23" s="88" t="s">
        <v>115</v>
      </c>
      <c r="E23" s="88">
        <v>1036271988</v>
      </c>
      <c r="F23" s="112" t="s">
        <v>1421</v>
      </c>
      <c r="G23" s="112" t="s">
        <v>1422</v>
      </c>
      <c r="H23" s="88">
        <v>95.7</v>
      </c>
      <c r="I23" s="88">
        <v>683.8</v>
      </c>
      <c r="J23" s="113" t="s">
        <v>43</v>
      </c>
      <c r="K23" s="114">
        <v>30000</v>
      </c>
      <c r="L23" s="114">
        <v>60000</v>
      </c>
      <c r="M23" s="114" t="s">
        <v>1408</v>
      </c>
      <c r="N23" s="49" t="s">
        <v>1423</v>
      </c>
      <c r="O23" s="115" t="s">
        <v>1424</v>
      </c>
    </row>
    <row r="24" s="100" customFormat="1" ht="40" customHeight="1" spans="1:15">
      <c r="A24" s="85">
        <v>19</v>
      </c>
      <c r="B24" s="85"/>
      <c r="C24" s="39" t="str">
        <f>_xlfn.DISPIMG("ID_28AF013E9BC74A9BB281DFE6F191EB91",1)</f>
        <v>=DISPIMG("ID_28AF013E9BC74A9BB281DFE6F191EB91",1)</v>
      </c>
      <c r="D24" s="85" t="s">
        <v>1425</v>
      </c>
      <c r="E24" s="85">
        <v>1054889287</v>
      </c>
      <c r="F24" s="123" t="s">
        <v>1426</v>
      </c>
      <c r="G24" s="123" t="s">
        <v>1427</v>
      </c>
      <c r="H24" s="85">
        <v>15.3</v>
      </c>
      <c r="I24" s="85">
        <v>96.3</v>
      </c>
      <c r="J24" s="124" t="s">
        <v>43</v>
      </c>
      <c r="K24" s="125">
        <v>20000</v>
      </c>
      <c r="L24" s="125">
        <v>30000</v>
      </c>
      <c r="M24" s="130" t="s">
        <v>39</v>
      </c>
      <c r="N24" s="131" t="s">
        <v>1428</v>
      </c>
      <c r="O24" s="126" t="s">
        <v>1429</v>
      </c>
    </row>
    <row r="25" s="100" customFormat="1" ht="40" customHeight="1" spans="1:15">
      <c r="A25" s="88">
        <v>20</v>
      </c>
      <c r="B25" s="121"/>
      <c r="C25" s="45" t="str">
        <f>_xlfn.DISPIMG("ID_FA8F7ABC3FD04308948A3D7BFA18D1AC",1)</f>
        <v>=DISPIMG("ID_FA8F7ABC3FD04308948A3D7BFA18D1AC",1)</v>
      </c>
      <c r="D25" s="88" t="s">
        <v>136</v>
      </c>
      <c r="E25" s="88">
        <v>9542888505</v>
      </c>
      <c r="F25" s="112" t="s">
        <v>1430</v>
      </c>
      <c r="G25" s="112" t="s">
        <v>1431</v>
      </c>
      <c r="H25" s="88">
        <v>6.5</v>
      </c>
      <c r="I25" s="88">
        <v>119.4</v>
      </c>
      <c r="J25" s="113" t="s">
        <v>43</v>
      </c>
      <c r="K25" s="114">
        <v>6000</v>
      </c>
      <c r="L25" s="114">
        <v>10000</v>
      </c>
      <c r="M25" s="114" t="s">
        <v>39</v>
      </c>
      <c r="N25" s="49" t="s">
        <v>1432</v>
      </c>
      <c r="O25" s="115" t="s">
        <v>1433</v>
      </c>
    </row>
    <row r="26" s="100" customFormat="1" ht="40" customHeight="1" spans="1:15">
      <c r="A26" s="85">
        <v>21</v>
      </c>
      <c r="B26" s="85"/>
      <c r="C26" s="39" t="str">
        <f>_xlfn.DISPIMG("ID_9F98F5572FA143D1A3AA0C7A4A20E102",1)</f>
        <v>=DISPIMG("ID_9F98F5572FA143D1A3AA0C7A4A20E102",1)</v>
      </c>
      <c r="D26" s="85" t="s">
        <v>125</v>
      </c>
      <c r="E26" s="85">
        <v>749565553</v>
      </c>
      <c r="F26" s="123" t="s">
        <v>1434</v>
      </c>
      <c r="G26" s="123" t="s">
        <v>1435</v>
      </c>
      <c r="H26" s="85">
        <v>38.2</v>
      </c>
      <c r="I26" s="85">
        <v>305.4</v>
      </c>
      <c r="J26" s="124" t="s">
        <v>43</v>
      </c>
      <c r="K26" s="125">
        <v>50000</v>
      </c>
      <c r="L26" s="125">
        <v>88000</v>
      </c>
      <c r="M26" s="130" t="s">
        <v>1436</v>
      </c>
      <c r="N26" s="131" t="s">
        <v>1437</v>
      </c>
      <c r="O26" s="126" t="s">
        <v>1438</v>
      </c>
    </row>
    <row r="27" s="100" customFormat="1" ht="40" customHeight="1" spans="1:15">
      <c r="A27" s="88">
        <v>22</v>
      </c>
      <c r="B27" s="121"/>
      <c r="C27" s="45" t="str">
        <f>_xlfn.DISPIMG("ID_C6E0F729476145B1B33570844F7AEF28",1)</f>
        <v>=DISPIMG("ID_C6E0F729476145B1B33570844F7AEF28",1)</v>
      </c>
      <c r="D27" s="88" t="s">
        <v>371</v>
      </c>
      <c r="E27" s="88">
        <v>555577854</v>
      </c>
      <c r="F27" s="112" t="s">
        <v>1439</v>
      </c>
      <c r="G27" s="112" t="s">
        <v>1440</v>
      </c>
      <c r="H27" s="88">
        <v>56.6</v>
      </c>
      <c r="I27" s="88">
        <v>563.1</v>
      </c>
      <c r="J27" s="113" t="s">
        <v>43</v>
      </c>
      <c r="K27" s="114">
        <v>30000</v>
      </c>
      <c r="L27" s="114">
        <v>50000</v>
      </c>
      <c r="M27" s="114" t="s">
        <v>39</v>
      </c>
      <c r="N27" s="49" t="s">
        <v>1441</v>
      </c>
      <c r="O27" s="115" t="s">
        <v>1442</v>
      </c>
    </row>
    <row r="28" s="100" customFormat="1" ht="40" customHeight="1" spans="1:15">
      <c r="A28" s="85">
        <v>23</v>
      </c>
      <c r="B28" s="85"/>
      <c r="C28" s="39" t="str">
        <f>_xlfn.DISPIMG("ID_45364279DDF94FE1A6F8998A67BC42D7",1)</f>
        <v>=DISPIMG("ID_45364279DDF94FE1A6F8998A67BC42D7",1)</v>
      </c>
      <c r="D28" s="85" t="s">
        <v>1443</v>
      </c>
      <c r="E28" s="85">
        <v>979988831</v>
      </c>
      <c r="F28" s="123" t="s">
        <v>1444</v>
      </c>
      <c r="G28" s="123" t="s">
        <v>1445</v>
      </c>
      <c r="H28" s="85">
        <v>20.9</v>
      </c>
      <c r="I28" s="85">
        <v>237.3</v>
      </c>
      <c r="J28" s="124" t="s">
        <v>43</v>
      </c>
      <c r="K28" s="125">
        <v>20000</v>
      </c>
      <c r="L28" s="125">
        <v>25000</v>
      </c>
      <c r="M28" s="130" t="s">
        <v>39</v>
      </c>
      <c r="N28" s="131" t="s">
        <v>1446</v>
      </c>
      <c r="O28" s="126" t="s">
        <v>1447</v>
      </c>
    </row>
    <row r="29" s="100" customFormat="1" ht="40" customHeight="1" spans="1:15">
      <c r="A29" s="88">
        <v>24</v>
      </c>
      <c r="B29" s="121"/>
      <c r="C29" s="45" t="str">
        <f>_xlfn.DISPIMG("ID_84004700788346389F1F6AFA69A290F1",1)</f>
        <v>=DISPIMG("ID_84004700788346389F1F6AFA69A290F1",1)</v>
      </c>
      <c r="D29" s="88" t="s">
        <v>1448</v>
      </c>
      <c r="E29" s="88">
        <v>802736996</v>
      </c>
      <c r="F29" s="112" t="s">
        <v>1449</v>
      </c>
      <c r="G29" s="112" t="s">
        <v>1450</v>
      </c>
      <c r="H29" s="88">
        <v>21.7</v>
      </c>
      <c r="I29" s="88">
        <v>307</v>
      </c>
      <c r="J29" s="113" t="s">
        <v>43</v>
      </c>
      <c r="K29" s="114">
        <v>30000</v>
      </c>
      <c r="L29" s="114">
        <v>45000</v>
      </c>
      <c r="M29" s="114" t="s">
        <v>39</v>
      </c>
      <c r="N29" s="49" t="s">
        <v>1451</v>
      </c>
      <c r="O29" s="115" t="s">
        <v>1452</v>
      </c>
    </row>
    <row r="30" s="100" customFormat="1" ht="40" customHeight="1" spans="1:15">
      <c r="A30" s="85">
        <v>25</v>
      </c>
      <c r="B30" s="85"/>
      <c r="C30" s="39" t="str">
        <f>_xlfn.DISPIMG("ID_C1A2D0C838BA4894A1BB80F9BC752C1C",1)</f>
        <v>=DISPIMG("ID_C1A2D0C838BA4894A1BB80F9BC752C1C",1)</v>
      </c>
      <c r="D30" s="85" t="s">
        <v>513</v>
      </c>
      <c r="E30" s="85">
        <v>740720709</v>
      </c>
      <c r="F30" s="123" t="s">
        <v>1453</v>
      </c>
      <c r="G30" s="123" t="s">
        <v>1454</v>
      </c>
      <c r="H30" s="85">
        <v>21.3</v>
      </c>
      <c r="I30" s="85">
        <v>126.2</v>
      </c>
      <c r="J30" s="124" t="s">
        <v>43</v>
      </c>
      <c r="K30" s="125">
        <v>28000</v>
      </c>
      <c r="L30" s="125">
        <v>45000</v>
      </c>
      <c r="M30" s="130" t="s">
        <v>39</v>
      </c>
      <c r="N30" s="131" t="s">
        <v>1455</v>
      </c>
      <c r="O30" s="126" t="s">
        <v>1456</v>
      </c>
    </row>
    <row r="31" s="100" customFormat="1" ht="40" customHeight="1" spans="1:15">
      <c r="A31" s="88">
        <v>26</v>
      </c>
      <c r="B31" s="121"/>
      <c r="C31" s="45" t="str">
        <f>_xlfn.DISPIMG("ID_0D2371F7C1564FCCBC9A2780976F2A2F",1)</f>
        <v>=DISPIMG("ID_0D2371F7C1564FCCBC9A2780976F2A2F",1)</v>
      </c>
      <c r="D31" s="88" t="s">
        <v>1457</v>
      </c>
      <c r="E31" s="88">
        <v>241012004</v>
      </c>
      <c r="F31" s="112" t="s">
        <v>1458</v>
      </c>
      <c r="G31" s="112" t="s">
        <v>1459</v>
      </c>
      <c r="H31" s="88">
        <v>13.2</v>
      </c>
      <c r="I31" s="88">
        <v>73</v>
      </c>
      <c r="J31" s="113" t="s">
        <v>43</v>
      </c>
      <c r="K31" s="114">
        <v>15000</v>
      </c>
      <c r="L31" s="114">
        <v>20000</v>
      </c>
      <c r="M31" s="114" t="s">
        <v>39</v>
      </c>
      <c r="N31" s="49" t="s">
        <v>1460</v>
      </c>
      <c r="O31" s="115" t="s">
        <v>1461</v>
      </c>
    </row>
    <row r="32" s="100" customFormat="1" ht="40" customHeight="1" spans="1:15">
      <c r="A32" s="85">
        <v>27</v>
      </c>
      <c r="B32" s="85"/>
      <c r="C32" s="39" t="str">
        <f>_xlfn.DISPIMG("ID_C63D8BEF69054299BD99EFFB82F2FA85",1)</f>
        <v>=DISPIMG("ID_C63D8BEF69054299BD99EFFB82F2FA85",1)</v>
      </c>
      <c r="D32" s="85" t="s">
        <v>1462</v>
      </c>
      <c r="E32" s="85" t="s">
        <v>1463</v>
      </c>
      <c r="F32" s="123" t="s">
        <v>1464</v>
      </c>
      <c r="G32" s="123" t="s">
        <v>1465</v>
      </c>
      <c r="H32" s="85">
        <v>10.4</v>
      </c>
      <c r="I32" s="85">
        <v>37</v>
      </c>
      <c r="J32" s="124" t="s">
        <v>779</v>
      </c>
      <c r="K32" s="125">
        <v>25000</v>
      </c>
      <c r="L32" s="125">
        <v>40000</v>
      </c>
      <c r="M32" s="130" t="s">
        <v>39</v>
      </c>
      <c r="N32" s="131" t="s">
        <v>1466</v>
      </c>
      <c r="O32" s="126" t="s">
        <v>1467</v>
      </c>
    </row>
    <row r="33" s="100" customFormat="1" ht="40" customHeight="1" spans="1:15">
      <c r="A33" s="88">
        <v>28</v>
      </c>
      <c r="B33" s="121"/>
      <c r="C33" s="45" t="str">
        <f>_xlfn.DISPIMG("ID_8800038899AD4ADFA16C59953E0E4EFB",1)</f>
        <v>=DISPIMG("ID_8800038899AD4ADFA16C59953E0E4EFB",1)</v>
      </c>
      <c r="D33" s="88" t="s">
        <v>833</v>
      </c>
      <c r="E33" s="88">
        <v>2285022473</v>
      </c>
      <c r="F33" s="112" t="s">
        <v>1468</v>
      </c>
      <c r="G33" s="112" t="s">
        <v>1431</v>
      </c>
      <c r="H33" s="88">
        <v>8.4</v>
      </c>
      <c r="I33" s="88">
        <v>232.9</v>
      </c>
      <c r="J33" s="113" t="s">
        <v>843</v>
      </c>
      <c r="K33" s="114">
        <v>10000</v>
      </c>
      <c r="L33" s="114">
        <v>15000</v>
      </c>
      <c r="M33" s="114" t="s">
        <v>39</v>
      </c>
      <c r="N33" s="49" t="s">
        <v>1469</v>
      </c>
      <c r="O33" s="115" t="s">
        <v>1470</v>
      </c>
    </row>
    <row r="34" s="100" customFormat="1" ht="40" customHeight="1" spans="1:15">
      <c r="A34" s="85">
        <v>29</v>
      </c>
      <c r="B34" s="85"/>
      <c r="C34" s="39" t="str">
        <f>_xlfn.DISPIMG("ID_BD7D2AE1FEEA4B539B8A02E17754BB63",1)</f>
        <v>=DISPIMG("ID_BD7D2AE1FEEA4B539B8A02E17754BB63",1)</v>
      </c>
      <c r="D34" s="85" t="s">
        <v>585</v>
      </c>
      <c r="E34" s="85" t="s">
        <v>1471</v>
      </c>
      <c r="F34" s="123" t="s">
        <v>1472</v>
      </c>
      <c r="G34" s="123" t="s">
        <v>1473</v>
      </c>
      <c r="H34" s="85">
        <v>5.9</v>
      </c>
      <c r="I34" s="85">
        <v>49.9</v>
      </c>
      <c r="J34" s="124" t="s">
        <v>43</v>
      </c>
      <c r="K34" s="125">
        <v>8000</v>
      </c>
      <c r="L34" s="125">
        <v>12000</v>
      </c>
      <c r="M34" s="130" t="s">
        <v>39</v>
      </c>
      <c r="N34" s="131" t="s">
        <v>1474</v>
      </c>
      <c r="O34" s="126" t="s">
        <v>1475</v>
      </c>
    </row>
    <row r="35" s="100" customFormat="1" ht="40" customHeight="1" spans="1:15">
      <c r="A35" s="88">
        <v>30</v>
      </c>
      <c r="B35" s="121"/>
      <c r="C35" s="45" t="str">
        <f>_xlfn.DISPIMG("ID_EC1AAC235172433B86CDEDC2691E72E2",1)</f>
        <v>=DISPIMG("ID_EC1AAC235172433B86CDEDC2691E72E2",1)</v>
      </c>
      <c r="D35" s="88" t="s">
        <v>1476</v>
      </c>
      <c r="E35" s="88">
        <v>156892753</v>
      </c>
      <c r="F35" s="112" t="s">
        <v>1477</v>
      </c>
      <c r="G35" s="112" t="s">
        <v>1478</v>
      </c>
      <c r="H35" s="88">
        <v>55</v>
      </c>
      <c r="I35" s="88">
        <v>634</v>
      </c>
      <c r="J35" s="113" t="s">
        <v>1214</v>
      </c>
      <c r="K35" s="114">
        <v>30000</v>
      </c>
      <c r="L35" s="114">
        <v>46000</v>
      </c>
      <c r="M35" s="114" t="s">
        <v>39</v>
      </c>
      <c r="N35" s="49" t="s">
        <v>1479</v>
      </c>
      <c r="O35" s="115" t="s">
        <v>1480</v>
      </c>
    </row>
    <row r="36" s="100" customFormat="1" ht="40" customHeight="1" spans="1:15">
      <c r="A36" s="85">
        <v>31</v>
      </c>
      <c r="B36" s="85"/>
      <c r="C36" s="39" t="str">
        <f>_xlfn.DISPIMG("ID_183D2C17EBC3467F9F312E51A85A6350",1)</f>
        <v>=DISPIMG("ID_183D2C17EBC3467F9F312E51A85A6350",1)</v>
      </c>
      <c r="D36" s="85" t="s">
        <v>1481</v>
      </c>
      <c r="E36" s="85">
        <v>1057334689</v>
      </c>
      <c r="F36" s="123" t="s">
        <v>1482</v>
      </c>
      <c r="G36" s="123" t="s">
        <v>1483</v>
      </c>
      <c r="H36" s="85">
        <v>77.6</v>
      </c>
      <c r="I36" s="85">
        <v>395</v>
      </c>
      <c r="J36" s="124" t="s">
        <v>43</v>
      </c>
      <c r="K36" s="125">
        <v>15000</v>
      </c>
      <c r="L36" s="125">
        <v>43000</v>
      </c>
      <c r="M36" s="130" t="s">
        <v>39</v>
      </c>
      <c r="N36" s="131" t="s">
        <v>1484</v>
      </c>
      <c r="O36" s="126" t="s">
        <v>1485</v>
      </c>
    </row>
    <row r="37" s="100" customFormat="1" ht="40" customHeight="1" spans="1:15">
      <c r="A37" s="88">
        <v>32</v>
      </c>
      <c r="B37" s="121"/>
      <c r="C37" s="45" t="str">
        <f>_xlfn.DISPIMG("ID_B1B5E1DE96534F36AC8A42A1B3B269DA",1)</f>
        <v>=DISPIMG("ID_B1B5E1DE96534F36AC8A42A1B3B269DA",1)</v>
      </c>
      <c r="D37" s="88" t="s">
        <v>1486</v>
      </c>
      <c r="E37" s="88">
        <v>626868894</v>
      </c>
      <c r="F37" s="112" t="s">
        <v>1487</v>
      </c>
      <c r="G37" s="112" t="s">
        <v>1488</v>
      </c>
      <c r="H37" s="88">
        <v>50.4</v>
      </c>
      <c r="I37" s="88">
        <v>399.2</v>
      </c>
      <c r="J37" s="113" t="s">
        <v>43</v>
      </c>
      <c r="K37" s="114">
        <v>15000</v>
      </c>
      <c r="L37" s="114">
        <v>25000</v>
      </c>
      <c r="M37" s="114" t="s">
        <v>39</v>
      </c>
      <c r="N37" s="49" t="s">
        <v>1489</v>
      </c>
      <c r="O37" s="115" t="s">
        <v>1490</v>
      </c>
    </row>
    <row r="38" s="99" customFormat="1" ht="25" customHeight="1" spans="1:15">
      <c r="A38" s="133"/>
      <c r="B38" s="133"/>
      <c r="C38" s="133"/>
      <c r="D38" s="133"/>
      <c r="E38" s="133"/>
      <c r="F38" s="133"/>
      <c r="G38" s="134" t="s">
        <v>1491</v>
      </c>
      <c r="H38" s="135"/>
      <c r="I38" s="135"/>
      <c r="J38" s="133"/>
      <c r="K38" s="133"/>
      <c r="L38" s="133"/>
      <c r="M38" s="133"/>
      <c r="N38" s="133"/>
      <c r="O38" s="133"/>
    </row>
    <row r="39" s="100" customFormat="1" ht="40" customHeight="1" spans="1:15">
      <c r="A39" s="85">
        <v>33</v>
      </c>
      <c r="B39" s="116"/>
      <c r="C39" s="39" t="str">
        <f>_xlfn.DISPIMG("ID_40729C90AA504E43B7F3045BA84F64C8",1)</f>
        <v>=DISPIMG("ID_40729C90AA504E43B7F3045BA84F64C8",1)</v>
      </c>
      <c r="D39" s="85" t="s">
        <v>1120</v>
      </c>
      <c r="E39" s="85">
        <v>884990145</v>
      </c>
      <c r="F39" s="123" t="s">
        <v>1492</v>
      </c>
      <c r="G39" s="123" t="s">
        <v>1493</v>
      </c>
      <c r="H39" s="85">
        <v>127.4</v>
      </c>
      <c r="I39" s="85">
        <v>1190.2</v>
      </c>
      <c r="J39" s="38" t="s">
        <v>434</v>
      </c>
      <c r="K39" s="125">
        <v>96000</v>
      </c>
      <c r="L39" s="125">
        <v>120000</v>
      </c>
      <c r="M39" s="125" t="s">
        <v>39</v>
      </c>
      <c r="N39" s="43" t="s">
        <v>1494</v>
      </c>
      <c r="O39" s="126" t="s">
        <v>1495</v>
      </c>
    </row>
    <row r="40" s="100" customFormat="1" ht="40" customHeight="1" spans="1:15">
      <c r="A40" s="88">
        <v>34</v>
      </c>
      <c r="B40" s="88"/>
      <c r="C40" s="88" t="str">
        <f>_xlfn.DISPIMG("ID_94D316B1999A441984C5D2BFC1BE6FF4",1)</f>
        <v>=DISPIMG("ID_94D316B1999A441984C5D2BFC1BE6FF4",1)</v>
      </c>
      <c r="D40" s="88" t="s">
        <v>1215</v>
      </c>
      <c r="E40" s="112" t="s">
        <v>1496</v>
      </c>
      <c r="F40" s="112" t="s">
        <v>1497</v>
      </c>
      <c r="G40" s="112" t="s">
        <v>1498</v>
      </c>
      <c r="H40" s="88">
        <v>125.3</v>
      </c>
      <c r="I40" s="88">
        <v>1428.9</v>
      </c>
      <c r="J40" s="113" t="s">
        <v>1221</v>
      </c>
      <c r="K40" s="114">
        <v>68000</v>
      </c>
      <c r="L40" s="114">
        <v>78000</v>
      </c>
      <c r="M40" s="122" t="s">
        <v>39</v>
      </c>
      <c r="N40" s="49" t="s">
        <v>1499</v>
      </c>
      <c r="O40" s="49" t="s">
        <v>1500</v>
      </c>
    </row>
    <row r="41" s="100" customFormat="1" ht="40" customHeight="1" spans="1:15">
      <c r="A41" s="85">
        <v>35</v>
      </c>
      <c r="B41" s="85"/>
      <c r="C41" s="39" t="str">
        <f>_xlfn.DISPIMG("ID_EBD2631FCAEC4FDD92F0E226BE26ACCF",1)</f>
        <v>=DISPIMG("ID_EBD2631FCAEC4FDD92F0E226BE26ACCF",1)</v>
      </c>
      <c r="D41" s="85" t="s">
        <v>544</v>
      </c>
      <c r="E41" s="85">
        <v>859489967</v>
      </c>
      <c r="F41" s="123" t="s">
        <v>1501</v>
      </c>
      <c r="G41" s="123" t="s">
        <v>1502</v>
      </c>
      <c r="H41" s="85">
        <v>5.7</v>
      </c>
      <c r="I41" s="85">
        <v>82.2</v>
      </c>
      <c r="J41" s="124" t="s">
        <v>43</v>
      </c>
      <c r="K41" s="125">
        <v>4000</v>
      </c>
      <c r="L41" s="125">
        <v>6800</v>
      </c>
      <c r="M41" s="125" t="s">
        <v>39</v>
      </c>
      <c r="N41" s="43" t="s">
        <v>1503</v>
      </c>
      <c r="O41" s="126" t="s">
        <v>1504</v>
      </c>
    </row>
    <row r="42" s="100" customFormat="1" ht="40" customHeight="1" spans="1:15">
      <c r="A42" s="88">
        <v>36</v>
      </c>
      <c r="B42" s="88"/>
      <c r="C42" s="45" t="str">
        <f>_xlfn.DISPIMG("ID_B1795C0DC3FD4663ABD5DF9C682C22A7",1)</f>
        <v>=DISPIMG("ID_B1795C0DC3FD4663ABD5DF9C682C22A7",1)</v>
      </c>
      <c r="D42" s="88" t="s">
        <v>1505</v>
      </c>
      <c r="E42" s="88">
        <v>1180596864</v>
      </c>
      <c r="F42" s="112" t="s">
        <v>1506</v>
      </c>
      <c r="G42" s="112" t="s">
        <v>1507</v>
      </c>
      <c r="H42" s="88">
        <v>2.2</v>
      </c>
      <c r="I42" s="88">
        <v>31.1</v>
      </c>
      <c r="J42" s="113" t="s">
        <v>43</v>
      </c>
      <c r="K42" s="114">
        <v>4000</v>
      </c>
      <c r="L42" s="114">
        <v>6000</v>
      </c>
      <c r="M42" s="114" t="s">
        <v>39</v>
      </c>
      <c r="N42" s="49" t="s">
        <v>1508</v>
      </c>
      <c r="O42" s="115" t="s">
        <v>1509</v>
      </c>
    </row>
    <row r="43" s="100" customFormat="1" ht="40" customHeight="1" spans="1:15">
      <c r="A43" s="85">
        <v>37</v>
      </c>
      <c r="B43" s="85"/>
      <c r="C43" s="39" t="str">
        <f>_xlfn.DISPIMG("ID_CF3E9C04E2EB483DB964FAB1C49DFD49",1)</f>
        <v>=DISPIMG("ID_CF3E9C04E2EB483DB964FAB1C49DFD49",1)</v>
      </c>
      <c r="D43" s="85" t="s">
        <v>844</v>
      </c>
      <c r="E43" s="85">
        <v>245666155</v>
      </c>
      <c r="F43" s="123" t="s">
        <v>1510</v>
      </c>
      <c r="G43" s="123" t="s">
        <v>1511</v>
      </c>
      <c r="H43" s="85">
        <v>28.1</v>
      </c>
      <c r="I43" s="85">
        <v>321.6</v>
      </c>
      <c r="J43" s="124" t="s">
        <v>43</v>
      </c>
      <c r="K43" s="125">
        <v>28000</v>
      </c>
      <c r="L43" s="125">
        <v>38000</v>
      </c>
      <c r="M43" s="125" t="s">
        <v>39</v>
      </c>
      <c r="N43" s="43" t="s">
        <v>1512</v>
      </c>
      <c r="O43" s="126" t="s">
        <v>1513</v>
      </c>
    </row>
    <row r="44" s="100" customFormat="1" ht="40" customHeight="1" spans="1:15">
      <c r="A44" s="88">
        <v>38</v>
      </c>
      <c r="B44" s="88"/>
      <c r="C44" s="45" t="str">
        <f>_xlfn.DISPIMG("ID_3DC8C9DC7D2A40A182F096AE2C13FE48",1)</f>
        <v>=DISPIMG("ID_3DC8C9DC7D2A40A182F096AE2C13FE48",1)</v>
      </c>
      <c r="D44" s="88" t="s">
        <v>1514</v>
      </c>
      <c r="E44" s="88">
        <v>345792259</v>
      </c>
      <c r="F44" s="112" t="s">
        <v>1515</v>
      </c>
      <c r="G44" s="112" t="s">
        <v>1516</v>
      </c>
      <c r="H44" s="88">
        <v>18.1</v>
      </c>
      <c r="I44" s="88">
        <v>119.3</v>
      </c>
      <c r="J44" s="113" t="s">
        <v>43</v>
      </c>
      <c r="K44" s="114">
        <v>10000</v>
      </c>
      <c r="L44" s="114">
        <v>68000</v>
      </c>
      <c r="M44" s="114" t="s">
        <v>39</v>
      </c>
      <c r="N44" s="49" t="s">
        <v>1517</v>
      </c>
      <c r="O44" s="115" t="s">
        <v>1518</v>
      </c>
    </row>
    <row r="45" s="100" customFormat="1" ht="40" customHeight="1" spans="1:15">
      <c r="A45" s="85">
        <v>39</v>
      </c>
      <c r="B45" s="85"/>
      <c r="C45" s="39" t="str">
        <f>_xlfn.DISPIMG("ID_5D30AC2FB77E462F933F8BAFB9E4736D",1)</f>
        <v>=DISPIMG("ID_5D30AC2FB77E462F933F8BAFB9E4736D",1)</v>
      </c>
      <c r="D45" s="85" t="s">
        <v>724</v>
      </c>
      <c r="E45" s="85">
        <v>890803218</v>
      </c>
      <c r="F45" s="123" t="s">
        <v>1519</v>
      </c>
      <c r="G45" s="123" t="s">
        <v>1520</v>
      </c>
      <c r="H45" s="85">
        <v>54.4</v>
      </c>
      <c r="I45" s="85">
        <v>612.1</v>
      </c>
      <c r="J45" s="124" t="s">
        <v>43</v>
      </c>
      <c r="K45" s="125">
        <v>28000</v>
      </c>
      <c r="L45" s="125">
        <v>38000</v>
      </c>
      <c r="M45" s="125" t="s">
        <v>39</v>
      </c>
      <c r="N45" s="43" t="s">
        <v>1521</v>
      </c>
      <c r="O45" s="126" t="s">
        <v>1522</v>
      </c>
    </row>
    <row r="46" s="100" customFormat="1" ht="40" customHeight="1" spans="1:15">
      <c r="A46" s="88">
        <v>40</v>
      </c>
      <c r="B46" s="88"/>
      <c r="C46" s="45" t="str">
        <f>_xlfn.DISPIMG("ID_69A1947915674D9CB0631F5D4C3CDFDE",1)</f>
        <v>=DISPIMG("ID_69A1947915674D9CB0631F5D4C3CDFDE",1)</v>
      </c>
      <c r="D46" s="88" t="s">
        <v>206</v>
      </c>
      <c r="E46" s="88">
        <v>9568993287</v>
      </c>
      <c r="F46" s="112" t="s">
        <v>1523</v>
      </c>
      <c r="G46" s="112" t="s">
        <v>1511</v>
      </c>
      <c r="H46" s="88">
        <v>36.4</v>
      </c>
      <c r="I46" s="88">
        <v>372</v>
      </c>
      <c r="J46" s="113" t="s">
        <v>43</v>
      </c>
      <c r="K46" s="114">
        <v>20000</v>
      </c>
      <c r="L46" s="114">
        <v>40000</v>
      </c>
      <c r="M46" s="114" t="s">
        <v>39</v>
      </c>
      <c r="N46" s="49" t="s">
        <v>1524</v>
      </c>
      <c r="O46" s="115" t="s">
        <v>1525</v>
      </c>
    </row>
    <row r="47" s="99" customFormat="1" ht="25" customHeight="1" spans="1:15">
      <c r="A47" s="136"/>
      <c r="B47" s="136"/>
      <c r="C47" s="136"/>
      <c r="D47" s="136"/>
      <c r="E47" s="136"/>
      <c r="F47" s="136"/>
      <c r="G47" s="137" t="s">
        <v>1526</v>
      </c>
      <c r="H47" s="138"/>
      <c r="I47" s="138"/>
      <c r="J47" s="136"/>
      <c r="K47" s="136"/>
      <c r="L47" s="136"/>
      <c r="M47" s="136"/>
      <c r="N47" s="136"/>
      <c r="O47" s="136"/>
    </row>
    <row r="48" s="100" customFormat="1" ht="40" customHeight="1" spans="1:15">
      <c r="A48" s="88">
        <v>41</v>
      </c>
      <c r="B48" s="121"/>
      <c r="C48" s="45" t="str">
        <f>_xlfn.DISPIMG("ID_1342947BE7894E3E8205ACD75702691A",1)</f>
        <v>=DISPIMG("ID_1342947BE7894E3E8205ACD75702691A",1)</v>
      </c>
      <c r="D48" s="88" t="s">
        <v>68</v>
      </c>
      <c r="E48" s="88">
        <v>2901261441</v>
      </c>
      <c r="F48" s="112" t="s">
        <v>1527</v>
      </c>
      <c r="G48" s="112" t="s">
        <v>1528</v>
      </c>
      <c r="H48" s="88">
        <v>136.5</v>
      </c>
      <c r="I48" s="88">
        <v>747.1</v>
      </c>
      <c r="J48" s="113" t="s">
        <v>43</v>
      </c>
      <c r="K48" s="114">
        <v>150000</v>
      </c>
      <c r="L48" s="114" t="s">
        <v>1529</v>
      </c>
      <c r="M48" s="114" t="s">
        <v>39</v>
      </c>
      <c r="N48" s="49" t="s">
        <v>1530</v>
      </c>
      <c r="O48" s="115" t="s">
        <v>1531</v>
      </c>
    </row>
    <row r="49" s="100" customFormat="1" ht="40" customHeight="1" spans="1:15">
      <c r="A49" s="85">
        <v>42</v>
      </c>
      <c r="B49" s="85"/>
      <c r="C49" s="39" t="str">
        <f>_xlfn.DISPIMG("ID_D9CE992367B2406F818344C9598E8010",1)</f>
        <v>=DISPIMG("ID_D9CE992367B2406F818344C9598E8010",1)</v>
      </c>
      <c r="D49" s="85" t="s">
        <v>490</v>
      </c>
      <c r="E49" s="85">
        <v>738929455</v>
      </c>
      <c r="F49" s="123" t="s">
        <v>1532</v>
      </c>
      <c r="G49" s="123" t="s">
        <v>1533</v>
      </c>
      <c r="H49" s="85">
        <v>2.4</v>
      </c>
      <c r="I49" s="85">
        <v>25.6</v>
      </c>
      <c r="J49" s="124" t="s">
        <v>43</v>
      </c>
      <c r="K49" s="125">
        <v>3000</v>
      </c>
      <c r="L49" s="125">
        <v>6000</v>
      </c>
      <c r="M49" s="125" t="s">
        <v>39</v>
      </c>
      <c r="N49" s="43" t="s">
        <v>1534</v>
      </c>
      <c r="O49" s="126" t="s">
        <v>1535</v>
      </c>
    </row>
    <row r="50" s="99" customFormat="1" ht="25" customHeight="1" spans="1:15">
      <c r="A50" s="139"/>
      <c r="B50" s="139"/>
      <c r="C50" s="139"/>
      <c r="D50" s="139"/>
      <c r="E50" s="139"/>
      <c r="F50" s="139"/>
      <c r="G50" s="140" t="s">
        <v>1536</v>
      </c>
      <c r="H50" s="141"/>
      <c r="I50" s="141"/>
      <c r="J50" s="139"/>
      <c r="K50" s="139"/>
      <c r="L50" s="139"/>
      <c r="M50" s="139"/>
      <c r="N50" s="139"/>
      <c r="O50" s="139"/>
    </row>
    <row r="51" s="100" customFormat="1" ht="40" customHeight="1" spans="1:15">
      <c r="A51" s="85">
        <v>43</v>
      </c>
      <c r="B51" s="116"/>
      <c r="C51" t="str">
        <f>_xlfn.DISPIMG("ID_98E9F40190D140AF8D418DA5B73C904E",1)</f>
        <v>=DISPIMG("ID_98E9F40190D140AF8D418DA5B73C904E",1)</v>
      </c>
      <c r="D51" s="85" t="s">
        <v>241</v>
      </c>
      <c r="E51" s="85">
        <v>9514015310</v>
      </c>
      <c r="F51" s="123" t="s">
        <v>1537</v>
      </c>
      <c r="G51" s="123" t="s">
        <v>1538</v>
      </c>
      <c r="H51" s="85">
        <v>10.2</v>
      </c>
      <c r="I51" s="85">
        <v>51.5</v>
      </c>
      <c r="J51" s="124" t="s">
        <v>43</v>
      </c>
      <c r="K51" s="125">
        <v>15000</v>
      </c>
      <c r="L51" s="125">
        <v>30000</v>
      </c>
      <c r="M51" s="125" t="s">
        <v>39</v>
      </c>
      <c r="N51" s="43" t="s">
        <v>1539</v>
      </c>
      <c r="O51" s="126" t="s">
        <v>1540</v>
      </c>
    </row>
    <row r="52" s="100" customFormat="1" ht="40" customHeight="1" spans="1:15">
      <c r="A52" s="88">
        <v>44</v>
      </c>
      <c r="B52" s="121"/>
      <c r="C52" s="45" t="str">
        <f>_xlfn.DISPIMG("ID_82BAEAD4A8B04B6A86EA0B945ACFB8ED",1)</f>
        <v>=DISPIMG("ID_82BAEAD4A8B04B6A86EA0B945ACFB8ED",1)</v>
      </c>
      <c r="D52" s="47" t="s">
        <v>1541</v>
      </c>
      <c r="E52" s="44">
        <v>117956154</v>
      </c>
      <c r="F52" s="142" t="s">
        <v>1542</v>
      </c>
      <c r="G52" s="112" t="s">
        <v>1538</v>
      </c>
      <c r="H52" s="88">
        <v>1</v>
      </c>
      <c r="I52" s="88">
        <v>3.2</v>
      </c>
      <c r="J52" s="113" t="s">
        <v>43</v>
      </c>
      <c r="K52" s="114" t="s">
        <v>1543</v>
      </c>
      <c r="L52" s="114" t="s">
        <v>1543</v>
      </c>
      <c r="M52" s="114" t="s">
        <v>39</v>
      </c>
      <c r="N52" s="49" t="s">
        <v>1544</v>
      </c>
      <c r="O52" s="115" t="s">
        <v>1545</v>
      </c>
    </row>
    <row r="53" s="100" customFormat="1" ht="40" customHeight="1" spans="1:15">
      <c r="A53" s="85">
        <v>45</v>
      </c>
      <c r="B53" s="116"/>
      <c r="C53" s="39" t="str">
        <f>_xlfn.DISPIMG("ID_AAD41A3608BA499BB3B2FD1402694A71",1)</f>
        <v>=DISPIMG("ID_AAD41A3608BA499BB3B2FD1402694A71",1)</v>
      </c>
      <c r="D53" s="85" t="s">
        <v>1546</v>
      </c>
      <c r="E53" s="85">
        <v>116310128</v>
      </c>
      <c r="F53" s="123" t="s">
        <v>1547</v>
      </c>
      <c r="G53" s="123" t="s">
        <v>289</v>
      </c>
      <c r="H53" s="85">
        <v>2.3</v>
      </c>
      <c r="I53" s="85">
        <v>6.3</v>
      </c>
      <c r="J53" s="124" t="s">
        <v>43</v>
      </c>
      <c r="K53" s="125">
        <v>8000</v>
      </c>
      <c r="L53" s="125">
        <v>15000</v>
      </c>
      <c r="M53" s="125" t="s">
        <v>39</v>
      </c>
      <c r="N53" s="43" t="s">
        <v>1548</v>
      </c>
      <c r="O53" s="126" t="s">
        <v>1549</v>
      </c>
    </row>
    <row r="54" s="100" customFormat="1" ht="40" customHeight="1" spans="1:15">
      <c r="A54" s="88">
        <v>46</v>
      </c>
      <c r="B54" s="121"/>
      <c r="C54" s="45" t="str">
        <f>_xlfn.DISPIMG("ID_31BDFBC9D72246ECAA6021AAAD17785C",1)</f>
        <v>=DISPIMG("ID_31BDFBC9D72246ECAA6021AAAD17785C",1)</v>
      </c>
      <c r="D54" s="47" t="s">
        <v>1550</v>
      </c>
      <c r="E54" s="44">
        <v>6764017209</v>
      </c>
      <c r="F54" s="142" t="s">
        <v>1551</v>
      </c>
      <c r="G54" s="112" t="s">
        <v>289</v>
      </c>
      <c r="H54" s="88">
        <v>2</v>
      </c>
      <c r="I54" s="88">
        <v>5.6</v>
      </c>
      <c r="J54" s="113" t="s">
        <v>43</v>
      </c>
      <c r="K54" s="114">
        <v>8000</v>
      </c>
      <c r="L54" s="114">
        <v>15000</v>
      </c>
      <c r="M54" s="114" t="s">
        <v>39</v>
      </c>
      <c r="N54" s="49" t="s">
        <v>1552</v>
      </c>
      <c r="O54" s="49" t="s">
        <v>1553</v>
      </c>
    </row>
    <row r="55" s="100" customFormat="1" ht="40" customHeight="1" spans="1:15">
      <c r="A55" s="85">
        <v>47</v>
      </c>
      <c r="B55" s="116"/>
      <c r="C55" s="39" t="str">
        <f>_xlfn.DISPIMG("ID_F652C207402A4EFB961D0799CB123FE5",1)</f>
        <v>=DISPIMG("ID_F652C207402A4EFB961D0799CB123FE5",1)</v>
      </c>
      <c r="D55" s="85" t="s">
        <v>1554</v>
      </c>
      <c r="E55" s="85" t="s">
        <v>1555</v>
      </c>
      <c r="F55" s="123" t="s">
        <v>1556</v>
      </c>
      <c r="G55" s="123" t="s">
        <v>289</v>
      </c>
      <c r="H55" s="85">
        <v>1.7</v>
      </c>
      <c r="I55" s="85">
        <v>20.2</v>
      </c>
      <c r="J55" s="124" t="s">
        <v>43</v>
      </c>
      <c r="K55" s="125">
        <v>8000</v>
      </c>
      <c r="L55" s="125">
        <v>15000</v>
      </c>
      <c r="M55" s="125" t="s">
        <v>39</v>
      </c>
      <c r="N55" s="43" t="s">
        <v>1557</v>
      </c>
      <c r="O55" s="126" t="s">
        <v>1558</v>
      </c>
    </row>
    <row r="56" s="100" customFormat="1" ht="40" customHeight="1" spans="1:15">
      <c r="A56" s="88">
        <v>48</v>
      </c>
      <c r="B56" s="121"/>
      <c r="C56" s="45" t="str">
        <f>_xlfn.DISPIMG("ID_5E08D9A73757491D80EC53CF0B8532CB",1)</f>
        <v>=DISPIMG("ID_5E08D9A73757491D80EC53CF0B8532CB",1)</v>
      </c>
      <c r="D56" s="47" t="s">
        <v>1559</v>
      </c>
      <c r="E56" s="44">
        <v>8330102030</v>
      </c>
      <c r="F56" s="142" t="s">
        <v>1560</v>
      </c>
      <c r="G56" s="112" t="s">
        <v>1561</v>
      </c>
      <c r="H56" s="88">
        <v>1.9</v>
      </c>
      <c r="I56" s="88">
        <v>4.6</v>
      </c>
      <c r="J56" s="113" t="s">
        <v>43</v>
      </c>
      <c r="K56" s="114">
        <v>3000</v>
      </c>
      <c r="L56" s="114">
        <v>6000</v>
      </c>
      <c r="M56" s="114" t="s">
        <v>39</v>
      </c>
      <c r="N56" s="49" t="s">
        <v>1562</v>
      </c>
      <c r="O56" s="49" t="s">
        <v>1563</v>
      </c>
    </row>
    <row r="57" s="100" customFormat="1" ht="40" customHeight="1" spans="1:15">
      <c r="A57" s="85">
        <v>49</v>
      </c>
      <c r="B57" s="116"/>
      <c r="C57" s="39" t="str">
        <f>_xlfn.DISPIMG("ID_5A891D8FCD964649A8E4EEEAD62562F8",1)</f>
        <v>=DISPIMG("ID_5A891D8FCD964649A8E4EEEAD62562F8",1)</v>
      </c>
      <c r="D57" s="85" t="s">
        <v>1564</v>
      </c>
      <c r="E57" s="85">
        <v>2609821210</v>
      </c>
      <c r="F57" s="123" t="s">
        <v>1565</v>
      </c>
      <c r="G57" s="123" t="s">
        <v>1566</v>
      </c>
      <c r="H57" s="85">
        <v>13.1</v>
      </c>
      <c r="I57" s="85">
        <v>110.1</v>
      </c>
      <c r="J57" s="124" t="s">
        <v>43</v>
      </c>
      <c r="K57" s="125">
        <v>1800</v>
      </c>
      <c r="L57" s="125">
        <v>6000</v>
      </c>
      <c r="M57" s="125" t="s">
        <v>1567</v>
      </c>
      <c r="N57" s="43" t="s">
        <v>1568</v>
      </c>
      <c r="O57" s="126" t="s">
        <v>1569</v>
      </c>
    </row>
    <row r="58" s="100" customFormat="1" ht="40" customHeight="1" spans="1:15">
      <c r="A58" s="143">
        <v>50</v>
      </c>
      <c r="B58" s="144"/>
      <c r="C58" s="145" t="str">
        <f>_xlfn.DISPIMG("ID_401706D6110241AF85A23925E986506A",1)</f>
        <v>=DISPIMG("ID_401706D6110241AF85A23925E986506A",1)</v>
      </c>
      <c r="D58" s="78" t="s">
        <v>1570</v>
      </c>
      <c r="E58" s="80">
        <v>2918257134</v>
      </c>
      <c r="F58" s="146" t="s">
        <v>1571</v>
      </c>
      <c r="G58" s="147" t="s">
        <v>1572</v>
      </c>
      <c r="H58" s="143">
        <v>5.6</v>
      </c>
      <c r="I58" s="143">
        <v>32.3</v>
      </c>
      <c r="J58" s="148" t="s">
        <v>43</v>
      </c>
      <c r="K58" s="149">
        <v>5000</v>
      </c>
      <c r="L58" s="149">
        <v>6500</v>
      </c>
      <c r="M58" s="149" t="s">
        <v>1573</v>
      </c>
      <c r="N58" s="150" t="s">
        <v>1574</v>
      </c>
      <c r="O58" s="150" t="s">
        <v>1575</v>
      </c>
    </row>
  </sheetData>
  <autoFilter xmlns:etc="http://www.wps.cn/officeDocument/2017/etCustomData" ref="A2:O58" etc:filterBottomFollowUsedRange="0">
    <extLst/>
  </autoFilter>
  <mergeCells count="1">
    <mergeCell ref="A1:O1"/>
  </mergeCells>
  <hyperlinks>
    <hyperlink ref="N17" r:id="rId2" display="https://www.xiaohongshu.com/user/profile/5cb427010000000017018af8?language=zh-CN"/>
    <hyperlink ref="N10" r:id="rId3" display="https://www.xiaohongshu.com/user/profile/5b001a854eacab46d3308d84?language=zh-CN"/>
    <hyperlink ref="N28" r:id="rId4" display="https://www.xiaohongshu.com/user/profile/5c886d4a000000001103062a?language=zh-CN" tooltip="https://www.xiaohongshu.com/user/profile/5c886d4a000000001103062a?language=zh-CN"/>
    <hyperlink ref="N23" r:id="rId5" display="https://www.xiaohongshu.com/user/profile/5fbf55ac00000000010054ec?language=zh-CN"/>
    <hyperlink ref="N20" r:id="rId6" display="https://www.xiaohongshu.com/user/profile/601d48c2000000000101e66a?language=zh-CN"/>
    <hyperlink ref="N46" r:id="rId7" display="https://www.xiaohongshu.com/user/profile/60c9d9cb0000000001009e2a?language=zh-CN"/>
    <hyperlink ref="N43" r:id="rId8" display="https://www.xiaohongshu.com/user/profile/5f508cb8000000000100baa4?language=zh-CN"/>
    <hyperlink ref="N31" r:id="rId9" display="https://www.xiaohongshu.com/user/profile/5f2e0669000000000101c68b?language=zh-CN"/>
    <hyperlink ref="N24" r:id="rId10" display="https://www.xiaohongshu.com/user/profile/5fa362a30000000001000747?language=zh-CN"/>
    <hyperlink ref="N44" r:id="rId11" display="https://www.xiaohongshu.com/user/profile/5ed4909b0000000001002d4f?language=zh-CN"/>
    <hyperlink ref="N51" r:id="rId12" display="https://www.xiaohongshu.com/user/profile/612f5616000000000201db0b?language=zh-CN"/>
    <hyperlink ref="N34" r:id="rId13" display="https://www.xiaohongshu.co&#10;m/user/profile/5b4f5fcb11&#10;be106513a09b1c" tooltip="https://www.xiaohongshu.com/user/profile/5b4f5fcb11be106513a09b1c"/>
    <hyperlink ref="N8" r:id="rId14" display="https://www.xiaohongshu.com/user/profile/61a60fe70000000010005673?xhsshare=CopyLink&amp;appuid=5abb1ddc4eacab7df3804e90&amp;apptime=1646106950"/>
    <hyperlink ref="N29" r:id="rId15" display="https://www.xiaohongshu.com/user/profile/5a9e4fd2e8ac2b28058cc6bc?xhsshare=CopyLink&amp;appuid=5bb0616f7d87110001b9d058&amp;apptime=1660629996"/>
    <hyperlink ref="N27" r:id="rId16" display="https://www.xiaohongshu.com/user/profile/5c6836cc0000000011031924?xhsshare=CopyLink&amp;appuid=5f6887c9000000000100b2fc&amp;apptime=1668403653"/>
    <hyperlink ref="N48" r:id="rId17" display="https://www.xiaohongshu.com/user/profile/63427e74000000001802fe3e?xhsshare=CopyLink&amp;appuid=5f6887c9000000000100b2fc&amp;apptime=1669968325"/>
    <hyperlink ref="N37" r:id="rId18" display="https://www.xiaohongshu.com/user/profile/5b88b4da0d26190001bfd0e8?xhsshare=CopyLink&amp;appuid=5f6887c9000000000100b2fc&amp;apptime=1676623879"/>
    <hyperlink ref="N52" r:id="rId19" display="https://www.xiaohongshu.com/user/profile/5b2de90311be1024e027ab8c?xhsshare=CopyLink&amp;appuid=5f6887c9000000000100b2fc&amp;apptime=1679989323"/>
    <hyperlink ref="N13" r:id="rId20" display="https://www.xiaohongshu.com/user/profile/5876137c82ec392876477d49?xhsshare=CopyLink&amp;appuid=5876137c82ec392876477d49&amp;apptime=1559476421"/>
    <hyperlink ref="N12" r:id="rId21" display="https://www.xiaohongshu.com/user/profile/591d50e582ec397ced16b902?xhsshare=CopyLink&amp;appuid=5f6887c9000000000100b2fc&amp;apptime=1682411995"/>
    <hyperlink ref="N42" r:id="rId22" display="https://www.xiaohongshu.com/user/profile/5ff947cb000000000101d8ac?xhsshare=CopyLink&amp;appuid=5f6887c9000000000100b2fc&amp;apptime=1684128014"/>
    <hyperlink ref="N16" r:id="rId23" display="https://www.xiaohongshu.com/user/profile/5fcf254b0000000001000dc1?xhsshare=CopyLink&amp;appuid=5f6887c9000000000100b2fc&amp;apptime=1685499908"/>
    <hyperlink ref="N49" r:id="rId24" display="https://www.xiaohongshu.com/user/profile/5f31dd7e00000000010001fa?xhsshare=CopyLink&amp;appuid=5f6887c9000000000100b2fc&amp;apptime=1688612831"/>
    <hyperlink ref="N45" r:id="rId25" display="https://www.xiaohongshu.com/user/profile/5c9187d70000000011009340?xhsshare=CopyLink&amp;appuid=5f6887c9000000000100b2fc&amp;apptime=1689591526"/>
    <hyperlink ref="N25" r:id="rId26" display="https://www.xiaohongshu.com/user/profile/60afd8b00000000001008d94?xhsshare=CopyLink&amp;appuid=5f6887c9000000000100b2fc&amp;apptime=1690434083"/>
    <hyperlink ref="N35" r:id="rId27" display="https://www.xiaohongshu.com/user/profile/5bb2ee2cbb1c740001fb8731?xhsshare=CopyLink&amp;appuid=5f6887c9000000000100b2fc&amp;apptime=1691569990"/>
    <hyperlink ref="N39" r:id="rId28" display="https://www.xiaohongshu.com/user/profile/5f4dde330000000001005ae2?xhsshare=CopyLink&amp;appuid=5f6887c9000000000100b2fc&amp;apptime=1692254448"/>
    <hyperlink ref="N40" r:id="rId29" display="https://www.xiaohongshu.com/user/profile/5fc9c5480000000001004b0e?xhsshare=CopyLink&amp;appuid=5f6887c9000000000100b2fc&amp;apptime=1692700093"/>
    <hyperlink ref="N58" r:id="rId30" display="https://www.xiaohongshu.com/user/profile/63246d3a00000000230275e1?xhsshare=CopyLink&amp;appuid=5f6887c9000000000100b2fc&amp;apptime=1697786233"/>
    <hyperlink ref="N30" r:id="rId31" display="https://www.xiaohongshu.com/user/profile/5ca7791c000000001703d920?xhsshare=CopyLink&amp;appuid=5f6887c9000000000100b2fc&amp;apptime=1698031379"/>
    <hyperlink ref="N41" r:id="rId32" display="https://www.xiaohongshu.com/user/profile/5f4e07d2000000000101d5eb?xhsshare=CopyLink&amp;appuid=5f6887c9000000000100b2fc&amp;apptime=1699496214"/>
    <hyperlink ref="N57" r:id="rId33" display="https://www.xiaohongshu.com/user/profile/60ab06f4000000000101f416?xhsshare=CopyLink&amp;appuid=5f6887c9000000000100b2fc&amp;apptime=1704441598"/>
    <hyperlink ref="N11" r:id="rId34" display="https://www.xiaohongshu.com/user/profile/5a026bc94eacab345d40800b?xhsshare=CopyLink&amp;appuid=5f6887c9000000000100b2fc&amp;apptime=1706512965"/>
    <hyperlink ref="N33" r:id="rId35" display="https://www.xiaohongshu.com/user/profile/642f09e60000000029011b9e?xhsshare=CopyLink&amp;appuid=5f6887c9000000000100b2fc&amp;apptime=1713341457"/>
    <hyperlink ref="N56" r:id="rId36" display="https://www.xiaohongshu.com/user/profile/65850350000000001b032296?xhsshare=CopyLink&amp;appuid=5f6887c9000000000100b2fc&amp;apptime=1716184285"/>
    <hyperlink ref="N7" r:id="rId37" display="https://www.xiaohongshu.com/user/profile/5d9c4619000000000100b1c0?xhsshare=CopyLink&amp;appuid=5f6887c9000000000100b2fc&amp;apptime=1691991561"/>
    <hyperlink ref="N9" r:id="rId38" display="https://www.xiaohongshu.com/user/profile/5a813a144eacab5b9d72c400?xhsshare=CopyLink&amp;appuid=5f6887c9000000000100b2fc&amp;apptime=1723700841&amp;share_id=704b384e90fa4a349ec425d10d3c571b"/>
    <hyperlink ref="N36" r:id="rId39" display="https://www.xiaohongshu.com/user/profile/5fd1ec020000000001006b13?xhsshare=CopyLink&amp;appuid=5bb0616f7d87110001b9d058&amp;apptime=1660629721"/>
    <hyperlink ref="O40" r:id="rId40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20" r:id="rId41" display="https://pgy.xiaohongshu.com/solar/pre-trade/blogger-detail/601d48c2000000000101e66a?track_id=kolSearch_daa082264a03422989c91a4da391e036&amp;source=Advertiser_Kol"/>
    <hyperlink ref="O23" r:id="rId42" display="https://pgy.xiaohongshu.com/solar/pre-trade/blogger-detail/5fbf55ac00000000010054ec?track_id=kolSearch_a8e059b9d6fc4b2ca7c93b6ec5369a22&amp;source=Advertiser_Kol"/>
    <hyperlink ref="O35" r:id="rId43" display="https://pgy.xiaohongshu.com/solar/pre-trade/blogger-detail/5bb2ee2cbb1c740001fb8731?track_id=kolSearch_645edcebb0e6403993bfd65c04c7f79f&amp;source=Advertiser_Kol"/>
    <hyperlink ref="O13" r:id="rId44" display="https://pgy.xiaohongshu.com/solar/pre-trade/blogger-detail/5876137c82ec392876477d49?track_id=kolSearch_69ed0984c006499aadca3a698fa54920&amp;source=Advertiser_Kol"/>
    <hyperlink ref="O8" r:id="rId45" display="https://pgy.xiaohongshu.com/solar/pre-trade/blogger-detail/61a60fe70000000010005673?track_id=kolSearch_4e0020d93e8f4404af08b7b167ef41dd&amp;source=Advertiser_Kol"/>
    <hyperlink ref="O7" r:id="rId46" display="https://pgy.xiaohongshu.com/solar/pre-trade/blogger-detail/5d9c4619000000000100b1c0?track_id=kolSearch_0c134ff113144bb3bd24c1c8e40c9910&amp;source=Advertiser_Kol"/>
    <hyperlink ref="O9" r:id="rId47" display="https://pgy.xiaohongshu.com/solar/pre-trade/blogger-detail/5a813a144eacab5b9d72c400?track_id=kolSearch_a6b116f5d0f1473faccb5233122861d9&amp;source=Advertiser_Kol"/>
    <hyperlink ref="O11" r:id="rId48" display="https://pgy.xiaohongshu.com/solar/pre-trade/blogger-detail/5a026bc94eacab345d40800b?track_id=kolSearch_621d32718c224318be729c41e4b3f0f2&amp;source=Advertiser_Kol"/>
    <hyperlink ref="O24" r:id="rId49" display="https://pgy.xiaohongshu.com/solar/pre-trade/blogger-detail/5fa362a30000000001000747?track_id=kolSearch_29ad4d6b12c840b4b88a7efc15e5f424&amp;source=Advertiser_Kol"/>
    <hyperlink ref="O25" r:id="rId50" display="https://pgy.xiaohongshu.com/solar/pre-trade/blogger-detail/60afd8b00000000001008d94?track_id=kolSearch_bf55ff7945af48ff9d4168c02a229a35&amp;source=Advertiser_Kol"/>
    <hyperlink ref="O41" r:id="rId51" display="https://pgy.xiaohongshu.com/solar/pre-trade/blogger-detail/5f4e07d2000000000101d5eb?track_id=kolSearch_15a6e0fabc364f898086f65ebde63732&amp;source=Advertiser_Kol"/>
    <hyperlink ref="O42" r:id="rId52" display="https://pgy.xiaohongshu.com/solar/pre-trade/blogger-detail/5ff947cb000000000101d8ac?track_id=kolSearch_2e20515045d445fb82f92f1edf5d58eb&amp;source=Advertiser_Kol"/>
    <hyperlink ref="O39" r:id="rId53" display="https://pgy.xiaohongshu.com/solar/pre-trade/blogger-detail/5f4dde330000000001005ae2?track_id=kolSearch_899ac3c3487c49548f9d6b3634955aae&amp;source=Advertiser_Kol"/>
    <hyperlink ref="O43" r:id="rId54" display="https://pgy.xiaohongshu.com/solar/pre-trade/blogger-detail/5f508cb8000000000100baa4?track_id=kolSearch_61be879a4c4d4aa3b11788d1a18e6bff&amp;source=Advertiser_Kol"/>
    <hyperlink ref="O44" r:id="rId55" display="https://pgy.xiaohongshu.com/solar/pre-trade/blogger-detail/5ed4909b0000000001002d4f?track_id=kolSearch_34a6ace8a0a54d8bb1a4191e1c7b5e12&amp;source=Advertiser_Kol"/>
    <hyperlink ref="O10" r:id="rId56" display="https://pgy.xiaohongshu.com/solar/pre-trade/blogger-detail/5b001a854eacab46d3308d84?track_id=kolSearch_ab766fc69d734a6c911cb7086a3347fb&amp;source=Advertiser_Kol"/>
    <hyperlink ref="O48" r:id="rId57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5" r:id="rId58" display="https://pgy.xiaohongshu.com/solar/pre-trade/blogger-detail/5c9187d70000000011009340?track_id=kolSearch_3c260d82929647958415a94a180bb98d&amp;source=Advertiser_Kol"/>
    <hyperlink ref="O46" r:id="rId59" display="https://pgy.xiaohongshu.com/solar/pre-trade/blogger-detail/60c9d9cb0000000001009e2a?track_id=kolSearch_80e82a9105a04fa381f4159f3b27538e&amp;source=Advertiser_Kol"/>
    <hyperlink ref="O29" r:id="rId60" display="https://pgy.xiaohongshu.com/solar/pre-trade/blogger-detail/5a9e4fd2e8ac2b28058cc6bc?track_id=kolSearch_3eea07c3e7a24c3f8cc3373d9bf49ae2&amp;source=Advertiser_Kol"/>
    <hyperlink ref="O28" r:id="rId61" display="https://pgy.xiaohongshu.com/solar/pre-trade/blogger-detail/5c886d4a000000001103062a?track_id=kolSearch_aec86d67bd964e3995787b9924f8d884&amp;source=Advertiser_Kol"/>
    <hyperlink ref="O30" r:id="rId62" display="https://pgy.xiaohongshu.com/solar/pre-trade/blogger-detail/5ca7791c000000001703d920?track_id=kolSearch_d3fcc24a5ddf477d979bf14e3fe5ffed&amp;source=Advertiser_Kol"/>
    <hyperlink ref="O31" r:id="rId63" display="https://pgy.xiaohongshu.com/solar/pre-trade/blogger-detail/5f2e0669000000000101c68b?track_id=kolSearch_366a708dbb8a4624baf7c246bbe47c2b&amp;source=Advertiser_Kol"/>
    <hyperlink ref="O51" r:id="rId64" display="https://pgy.xiaohongshu.com/solar/pre-trade/blogger-detail/612f5616000000000201db0b?track_id=kolSearch_9e73eb1875e74f989bceae0bb29f7fd6&amp;source=Advertiser_Kol"/>
    <hyperlink ref="O16" r:id="rId65" display="https://pgy.xiaohongshu.com/solar/pre-trade/blogger-detail/5fcf254b0000000001000dc1?track_id=kolSearch_6b9d38da35fa40eba6b620d4a633d09f&amp;source=Advertiser_Kol"/>
    <hyperlink ref="O34" r:id="rId66" display="https://pgy.xiaohongshu.com/solar/pre-trade/blogger-detail/5b4f5fcb11be106513a09b1c?track_id=kolSearch_5898afae8ddc45e5b64749b791f59335&amp;source=Advertiser_Kol"/>
    <hyperlink ref="O12" r:id="rId67" display="https://pgy.xiaohongshu.com/solar/pre-trade/blogger-detail/591d50e582ec397ced16b902?track_id=kolSearch_f2607d75dc404d26836275650a90d789&amp;source=Advertiser_Kol"/>
    <hyperlink ref="O33" r:id="rId68" display="https://pgy.xiaohongshu.com/solar/pre-trade/blogger-detail/642f09e60000000029011b9e?track_id=kolSearch_9f32b438ea584760ba43c1cf96f2fb9b&amp;source=Advertiser_Kol"/>
    <hyperlink ref="O49" r:id="rId69" display="https://pgy.xiaohongshu.com/solar/pre-trade/blogger-detail/5f31dd7e00000000010001fa?track_id=kolSearch_a1b332f63bf14fc8b280e0cb0a076565&amp;source=Advertiser_Kol"/>
    <hyperlink ref="O56" r:id="rId70" display="https://pgy.xiaohongshu.com/solar/pre-trade/blogger-detail/65850350000000001b032296?track_id=kolSearch_e5fdf4f94e694e1a9bde6a2478d7f6fc&amp;source=Advertiser_Kol"/>
    <hyperlink ref="O52" r:id="rId71" display="https://pgy.xiaohongshu.com/solar/pre-trade/blogger-detail/5b2de90311be1024e027ab8c?track_id=kolSearch_3158e6a1bc47489795180c8dfe191109&amp;source=Advertiser_Kol"/>
    <hyperlink ref="O27" r:id="rId72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37" r:id="rId73" display="https://pgy.xiaohongshu.com/solar/pre-trade/blogger-detail/5b88b4da0d26190001bfd0e8?track_id=kolSearch_bce217027a71405d9fc4804dadb17e0c&amp;source=Advertiser_Kol"/>
    <hyperlink ref="O57" r:id="rId74" display="https://pgy.xiaohongshu.com/solar/pre-trade/blogger-detail/60ab06f4000000000101f416?track_id=kolSearch_ca875e20646f47188b653093cc06d6ec&amp;source=Advertiser_Kol"/>
    <hyperlink ref="O58" r:id="rId75" display="https://pgy.xiaohongshu.com/solar/pre-trade/blogger-detail/63246d3a00000000230275e1?track_id=kolSearch_db75c6afaca64d6c96f30897f7874ac9&amp;source=Advertiser_Kol"/>
    <hyperlink ref="O36" r:id="rId76" display="https://pgy.xiaohongshu.com/solar/pre-trade/blogger-detail/5fd1ec020000000001006b13?track_id=kolSearch_7e9d11a4e305418d8c5f4c52fd234ca4&amp;source=Advertiser_Kol"/>
    <hyperlink ref="O17" r:id="rId77" display="https://pgy.xiaohongshu.com/solar/pre-trade/blogger-detail/5cb427010000000017018af8?track_id=kolSearch_ab957022be6744d494f8577207c844f9&amp;source=Advertiser_Kol"/>
    <hyperlink ref="N53" r:id="rId78" display="https://www.xiaohongshu.com/user/profile/58ca16696a6a69748a40c696"/>
    <hyperlink ref="N55" r:id="rId79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3" r:id="rId80" display="https://pgy.xiaohongshu.com/solar/pre-trade/blogger-detail/58ca16696a6a69748a40c696?track_id=kolSearch_1689b999699e4ce5a4f961b85cdcb912&amp;source=Advertiser_Kol"/>
    <hyperlink ref="O55" r:id="rId81" display="https://pgy.xiaohongshu.com/solar/pre-trade/blogger-detail/61e6675f0000000010009eae?track_id="/>
    <hyperlink ref="O15" r:id="rId82" display="https://pgy.xiaohongshu.com/solar/pre-trade/blogger-detail/5bb1fa139cb8ac00010e9eb6?track_id="/>
    <hyperlink ref="N15" r:id="rId83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2" r:id="rId84" display="https://www.xiaohongshu.com/user/profile/5e5b7cfc0000000001008cc9?xsec_token=YBbKKN6nVkufj08exnHTM2ZjSXanzjAeJv16sdRtVOIHQ=&amp;xsec_source=app_share&amp;xhsshare=CopyLink&amp;appuid=5f6887c9000000000100b2fc&amp;apptime=1742541405&amp;share_id=d7bb17681d794c69b09453de08d40d1e"/>
    <hyperlink ref="O22" r:id="rId85" display="https://pgy.xiaohongshu.com/solar/pre-trade/blogger-detail/5e5b7cfc0000000001008cc9?track_id=kolSearch_6b5730c78d854c8f8faea2ad6e85c415&amp;source=Advertiser_Kol"/>
    <hyperlink ref="O19" r:id="rId86" display="https://pgy.xiaohongshu.com/solar/pre-trade/blogger-detail/62efa5f7000000001f005b9a?track_id=kolSearch_62241b1dd4594800a7785e1e3f10022c&amp;source=Advertiser_Kol"/>
    <hyperlink ref="N19" r:id="rId87" display="https://www.xiaohongshu.com/user/profile/62efa5f7000000001f005b9a?xsec_token=YBd-vS5sMOuCxh9m-6YHFO4uiMN2r-upH5aaCEF_Q33Ms=&amp;xsec_source=app_share&amp;xhsshare=CopyLink&amp;appuid=5f6887c9000000000100b2fc&amp;apptime=1749543031&amp;share_id=ed0cb645c4b24686ba1737e9868cbca2"/>
    <hyperlink ref="N26" r:id="rId88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6" r:id="rId89" display="https://pgy.xiaohongshu.com/solar/pre-trade/blogger-detail/5c45ebaa000000001200329e?track_id=kolSearch_9d9ee6e9b8ba4d7388a1ed4c03d910d5&amp;source=Advertiser_Kol"/>
    <hyperlink ref="N32" r:id="rId90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32" r:id="rId91" display="https://pgy.xiaohongshu.com/solar/pre-trade/blogger-detail/5b5d36c7e8ac2b35b1e6213d?track_id="/>
    <hyperlink ref="N4" r:id="rId92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4" r:id="rId93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4" r:id="rId94" display="https://pgy.xiaohongshu.com/solar/pre-trade/blogger-detail/63a6fc520000000027029c8d?track_id="/>
    <hyperlink ref="N5" r:id="rId95" display="https://xhslink.com/m/5UgcvtObNbD"/>
    <hyperlink ref="O5" r:id="rId96" display="https://pgy.xiaohongshu.com/solar/pre-trade/blogger-detail/63135ed0000000001200e086?track_id="/>
    <hyperlink ref="N18" r:id="rId97" display="https://www.xiaohongshu.com/user/profile/5988a08250c4b438e2221e0d" tooltip="https://www.xiaohongshu.com/user/profile/5988a08250c4b438e2221e0d"/>
    <hyperlink ref="O18" r:id="rId98" display="https://pgy.xiaohongshu.com/solar/pre-trade/blogger-detail/5988a08250c4b438e2221e0d?track_id=kolSearch_968f0410d7154a91a274acdd686dea65&amp;source=Advertiser_Kol"/>
    <hyperlink ref="N21" r:id="rId99" display="https://www.xiaohongshu.com/user/profile/5f685cfe0000000001007dcb"/>
    <hyperlink ref="O21" r:id="rId100" display="https://pgy.xiaohongshu.com/solar/pre-trade/blogger-detail/5f685cfe0000000001007dcb?track_id=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7"/>
  <sheetViews>
    <sheetView workbookViewId="0">
      <pane ySplit="2" topLeftCell="A3" activePane="bottomLeft" state="frozen"/>
      <selection/>
      <selection pane="bottomLeft" activeCell="D14" sqref="D14"/>
    </sheetView>
  </sheetViews>
  <sheetFormatPr defaultColWidth="9.81666666666667" defaultRowHeight="13.5" outlineLevelRow="6" outlineLevelCol="7"/>
  <cols>
    <col min="1" max="1" width="9" style="34"/>
    <col min="2" max="3" width="7.625" style="34" customWidth="1"/>
    <col min="4" max="4" width="33.2666666666667" style="34" customWidth="1"/>
    <col min="5" max="5" width="15.1416666666667" style="57" customWidth="1"/>
    <col min="6" max="6" width="15.1416666666667" style="34" customWidth="1"/>
    <col min="7" max="7" width="15.5" style="68" customWidth="1"/>
    <col min="8" max="8" width="29.875" style="34" customWidth="1"/>
    <col min="9" max="16377" width="9" style="34"/>
    <col min="16378" max="16383" width="9.64166666666667" style="34"/>
    <col min="16384" max="16384" width="9.81666666666667" style="34"/>
  </cols>
  <sheetData>
    <row r="1" s="34" customFormat="1" ht="70" customHeight="1" spans="1:8">
      <c r="A1" s="7" t="s">
        <v>1576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83" t="s">
        <v>1577</v>
      </c>
      <c r="B2" s="83" t="s">
        <v>7</v>
      </c>
      <c r="C2" s="83" t="s">
        <v>9</v>
      </c>
      <c r="D2" s="83" t="s">
        <v>1578</v>
      </c>
      <c r="E2" s="83" t="s">
        <v>1579</v>
      </c>
      <c r="F2" s="83" t="s">
        <v>1580</v>
      </c>
      <c r="G2" s="83" t="s">
        <v>1581</v>
      </c>
      <c r="H2" s="83" t="s">
        <v>1582</v>
      </c>
    </row>
    <row r="3" s="1" customFormat="1" ht="40" customHeight="1" spans="1:8">
      <c r="A3" s="38" t="s">
        <v>289</v>
      </c>
      <c r="B3" s="74">
        <v>1</v>
      </c>
      <c r="C3" s="84" t="str">
        <f>_xlfn.DISPIMG("ID_B80174DB818F42F89E0B16F62B09933C",1)</f>
        <v>=DISPIMG("ID_B80174DB818F42F89E0B16F62B09933C",1)</v>
      </c>
      <c r="D3" s="38" t="s">
        <v>1583</v>
      </c>
      <c r="E3" s="85">
        <v>1033</v>
      </c>
      <c r="F3" s="77">
        <v>80000</v>
      </c>
      <c r="G3" s="77">
        <v>8000</v>
      </c>
      <c r="H3" s="86" t="s">
        <v>1584</v>
      </c>
    </row>
    <row r="4" s="1" customFormat="1" ht="40" customHeight="1" spans="1:8">
      <c r="A4" s="44" t="s">
        <v>867</v>
      </c>
      <c r="B4" s="71">
        <v>2</v>
      </c>
      <c r="C4" s="87" t="str">
        <f>_xlfn.DISPIMG("ID_99668B7599544B11ACEEA3FF1EB72326",1)</f>
        <v>=DISPIMG("ID_99668B7599544B11ACEEA3FF1EB72326",1)</v>
      </c>
      <c r="D4" s="44" t="s">
        <v>887</v>
      </c>
      <c r="E4" s="88">
        <v>328</v>
      </c>
      <c r="F4" s="73">
        <v>50000</v>
      </c>
      <c r="G4" s="73">
        <v>5000</v>
      </c>
      <c r="H4" s="89" t="s">
        <v>1585</v>
      </c>
    </row>
    <row r="5" s="1" customFormat="1" ht="40" customHeight="1" spans="1:8">
      <c r="A5" s="38" t="s">
        <v>289</v>
      </c>
      <c r="B5" s="74">
        <v>3</v>
      </c>
      <c r="C5" s="84" t="str">
        <f>_xlfn.DISPIMG("ID_66734896A6CE47A2BD8361F520FC4D67",1)</f>
        <v>=DISPIMG("ID_66734896A6CE47A2BD8361F520FC4D67",1)</v>
      </c>
      <c r="D5" s="38" t="s">
        <v>253</v>
      </c>
      <c r="E5" s="85">
        <v>128</v>
      </c>
      <c r="F5" s="77">
        <v>50000</v>
      </c>
      <c r="G5" s="77">
        <v>8000</v>
      </c>
      <c r="H5" s="86" t="s">
        <v>1586</v>
      </c>
    </row>
    <row r="6" s="1" customFormat="1" ht="40" customHeight="1" spans="1:8">
      <c r="A6" s="44" t="s">
        <v>867</v>
      </c>
      <c r="B6" s="71">
        <v>4</v>
      </c>
      <c r="C6" s="87" t="str">
        <f>_xlfn.DISPIMG("ID_AAD39A6E8CE0488386F06F9435D649BA",1)</f>
        <v>=DISPIMG("ID_AAD39A6E8CE0488386F06F9435D649BA",1)</v>
      </c>
      <c r="D6" s="90" t="s">
        <v>1587</v>
      </c>
      <c r="E6" s="88">
        <v>422</v>
      </c>
      <c r="F6" s="73">
        <v>80000</v>
      </c>
      <c r="G6" s="73">
        <v>10000</v>
      </c>
      <c r="H6" s="89" t="s">
        <v>1588</v>
      </c>
    </row>
    <row r="7" s="1" customFormat="1" ht="40" customHeight="1" spans="1:8">
      <c r="A7" s="50" t="s">
        <v>289</v>
      </c>
      <c r="B7" s="91">
        <v>5</v>
      </c>
      <c r="C7" s="92" t="str">
        <f>_xlfn.DISPIMG("ID_FA9FF34377084D008B1E566C0AFB056C",1)</f>
        <v>=DISPIMG("ID_FA9FF34377084D008B1E566C0AFB056C",1)</v>
      </c>
      <c r="D7" s="93" t="s">
        <v>1589</v>
      </c>
      <c r="E7" s="94">
        <v>173</v>
      </c>
      <c r="F7" s="95">
        <v>15000</v>
      </c>
      <c r="G7" s="95">
        <v>1000</v>
      </c>
      <c r="H7" s="96" t="s">
        <v>1590</v>
      </c>
    </row>
  </sheetData>
  <autoFilter xmlns:etc="http://www.wps.cn/officeDocument/2017/etCustomData" ref="A2:H7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3" r:id="rId5" display="https://is.snssdk.com/motor/ugc/profile.html?link_source=share&amp;the_user_id=73208712518"/>
    <hyperlink ref="H7" r:id="rId6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5"/>
  <sheetViews>
    <sheetView workbookViewId="0">
      <pane ySplit="2" topLeftCell="A7" activePane="bottomLeft" state="frozen"/>
      <selection/>
      <selection pane="bottomLeft" activeCell="J16" sqref="J16"/>
    </sheetView>
  </sheetViews>
  <sheetFormatPr defaultColWidth="9.81666666666667" defaultRowHeight="13.5"/>
  <cols>
    <col min="1" max="1" width="9" style="34"/>
    <col min="2" max="3" width="7.625" style="34" customWidth="1"/>
    <col min="4" max="4" width="33.2666666666667" style="34" customWidth="1"/>
    <col min="5" max="5" width="16.2583333333333" style="34" customWidth="1"/>
    <col min="6" max="7" width="15.1416666666667" style="34" customWidth="1"/>
    <col min="8" max="8" width="20" style="68" customWidth="1"/>
    <col min="9" max="9" width="11.3833333333333" style="34" customWidth="1"/>
    <col min="10" max="16372" width="9" style="34"/>
    <col min="16373" max="16377" width="9.64166666666667" style="34"/>
    <col min="16378" max="16384" width="9.81666666666667" style="34"/>
  </cols>
  <sheetData>
    <row r="1" s="34" customFormat="1" ht="70" customHeight="1" spans="1:9">
      <c r="A1" s="7" t="s">
        <v>1591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69" t="s">
        <v>1577</v>
      </c>
      <c r="B2" s="69" t="s">
        <v>7</v>
      </c>
      <c r="C2" s="69" t="s">
        <v>9</v>
      </c>
      <c r="D2" s="69" t="s">
        <v>1592</v>
      </c>
      <c r="E2" s="69" t="s">
        <v>1593</v>
      </c>
      <c r="F2" s="70" t="s">
        <v>1579</v>
      </c>
      <c r="G2" s="69" t="s">
        <v>1594</v>
      </c>
      <c r="H2" s="69" t="s">
        <v>1581</v>
      </c>
      <c r="I2" s="69" t="s">
        <v>1595</v>
      </c>
    </row>
    <row r="3" s="1" customFormat="1" ht="40" customHeight="1" spans="1:9">
      <c r="A3" s="47" t="s">
        <v>1243</v>
      </c>
      <c r="B3" s="71">
        <v>1</v>
      </c>
      <c r="C3" s="71" t="str">
        <f>_xlfn.DISPIMG("ID_22FABF50CE8D4FE4A2A41D38745F4816",1)</f>
        <v>=DISPIMG("ID_22FABF50CE8D4FE4A2A41D38745F4816",1)</v>
      </c>
      <c r="D3" s="44" t="s">
        <v>68</v>
      </c>
      <c r="E3" s="44" t="s">
        <v>1596</v>
      </c>
      <c r="F3" s="72">
        <v>2147279</v>
      </c>
      <c r="G3" s="73">
        <v>1800000</v>
      </c>
      <c r="H3" s="73">
        <v>400000</v>
      </c>
      <c r="I3" s="71" t="s">
        <v>1597</v>
      </c>
    </row>
    <row r="4" s="1" customFormat="1" ht="40" customHeight="1" spans="1:9">
      <c r="A4" s="41" t="s">
        <v>1598</v>
      </c>
      <c r="B4" s="74">
        <v>2</v>
      </c>
      <c r="C4" s="74" t="str">
        <f>_xlfn.DISPIMG("ID_0526E155DF574DB6A9004725CE255338",1)</f>
        <v>=DISPIMG("ID_0526E155DF574DB6A9004725CE255338",1)</v>
      </c>
      <c r="D4" s="75" t="s">
        <v>1599</v>
      </c>
      <c r="E4" s="75" t="s">
        <v>1600</v>
      </c>
      <c r="F4" s="76">
        <v>229259</v>
      </c>
      <c r="G4" s="77">
        <v>30000</v>
      </c>
      <c r="H4" s="77">
        <v>5000</v>
      </c>
      <c r="I4" s="74" t="s">
        <v>1601</v>
      </c>
    </row>
    <row r="5" s="1" customFormat="1" ht="40" customHeight="1" spans="1:9">
      <c r="A5" s="47" t="s">
        <v>1057</v>
      </c>
      <c r="B5" s="71">
        <v>3</v>
      </c>
      <c r="C5" s="71" t="str">
        <f>_xlfn.DISPIMG("ID_AAAD5394AEDE4534B3B6770F136166B8",1)</f>
        <v>=DISPIMG("ID_AAAD5394AEDE4534B3B6770F136166B8",1)</v>
      </c>
      <c r="D5" s="44" t="s">
        <v>1602</v>
      </c>
      <c r="E5" s="44" t="s">
        <v>1603</v>
      </c>
      <c r="F5" s="72">
        <v>431257</v>
      </c>
      <c r="G5" s="73">
        <v>3000</v>
      </c>
      <c r="H5" s="73">
        <v>2000</v>
      </c>
      <c r="I5" s="71" t="s">
        <v>1597</v>
      </c>
    </row>
    <row r="6" s="1" customFormat="1" ht="40" customHeight="1" spans="1:9">
      <c r="A6" s="41" t="s">
        <v>867</v>
      </c>
      <c r="B6" s="74">
        <v>4</v>
      </c>
      <c r="C6" s="74" t="str">
        <f>_xlfn.DISPIMG("ID_DE7F0F130B1240EDB27E385A5E6BF622",1)</f>
        <v>=DISPIMG("ID_DE7F0F130B1240EDB27E385A5E6BF622",1)</v>
      </c>
      <c r="D6" s="75" t="s">
        <v>1148</v>
      </c>
      <c r="E6" s="75" t="s">
        <v>1604</v>
      </c>
      <c r="F6" s="76">
        <v>388482</v>
      </c>
      <c r="G6" s="77">
        <v>70000</v>
      </c>
      <c r="H6" s="77">
        <v>20000</v>
      </c>
      <c r="I6" s="74" t="s">
        <v>1601</v>
      </c>
    </row>
    <row r="7" s="1" customFormat="1" ht="40" customHeight="1" spans="1:9">
      <c r="A7" s="47" t="s">
        <v>867</v>
      </c>
      <c r="B7" s="71">
        <v>5</v>
      </c>
      <c r="C7" s="71" t="str">
        <f>_xlfn.DISPIMG("ID_E5744359F8904C5A8E437F348DF11B4C",1)</f>
        <v>=DISPIMG("ID_E5744359F8904C5A8E437F348DF11B4C",1)</v>
      </c>
      <c r="D7" s="44" t="s">
        <v>1605</v>
      </c>
      <c r="E7" s="44" t="s">
        <v>1606</v>
      </c>
      <c r="F7" s="72">
        <v>48523</v>
      </c>
      <c r="G7" s="73">
        <v>25000</v>
      </c>
      <c r="H7" s="73" t="s">
        <v>39</v>
      </c>
      <c r="I7" s="71" t="s">
        <v>1601</v>
      </c>
    </row>
    <row r="8" s="1" customFormat="1" ht="40" customHeight="1" spans="1:9">
      <c r="A8" s="41" t="s">
        <v>867</v>
      </c>
      <c r="B8" s="74">
        <v>6</v>
      </c>
      <c r="C8" s="74" t="str">
        <f>_xlfn.DISPIMG("ID_13B7E4DB04D24FA7B0DCF78C29F469A4",1)</f>
        <v>=DISPIMG("ID_13B7E4DB04D24FA7B0DCF78C29F469A4",1)</v>
      </c>
      <c r="D8" s="75" t="s">
        <v>1607</v>
      </c>
      <c r="E8" s="75" t="s">
        <v>1608</v>
      </c>
      <c r="F8" s="76">
        <v>46433</v>
      </c>
      <c r="G8" s="77">
        <v>48000</v>
      </c>
      <c r="H8" s="77" t="s">
        <v>39</v>
      </c>
      <c r="I8" s="74" t="s">
        <v>1597</v>
      </c>
    </row>
    <row r="9" s="1" customFormat="1" ht="40" customHeight="1" spans="1:9">
      <c r="A9" s="47" t="s">
        <v>1609</v>
      </c>
      <c r="B9" s="71">
        <v>7</v>
      </c>
      <c r="C9" s="71" t="str">
        <f>_xlfn.DISPIMG("ID_A934BBBA568A4A7AAC0C7DC4E37B6F9F",1)</f>
        <v>=DISPIMG("ID_A934BBBA568A4A7AAC0C7DC4E37B6F9F",1)</v>
      </c>
      <c r="D9" s="44" t="s">
        <v>216</v>
      </c>
      <c r="E9" s="44" t="s">
        <v>1610</v>
      </c>
      <c r="F9" s="72">
        <v>18106</v>
      </c>
      <c r="G9" s="73">
        <v>2000</v>
      </c>
      <c r="H9" s="73">
        <v>1000</v>
      </c>
      <c r="I9" s="71" t="s">
        <v>1597</v>
      </c>
    </row>
    <row r="10" s="1" customFormat="1" ht="40" customHeight="1" spans="1:9">
      <c r="A10" s="41" t="s">
        <v>152</v>
      </c>
      <c r="B10" s="74">
        <v>8</v>
      </c>
      <c r="C10" s="75" t="str">
        <f>_xlfn.DISPIMG("ID_CD0F50CCCD824C92AFDEBB40BF3807E8",1)</f>
        <v>=DISPIMG("ID_CD0F50CCCD824C92AFDEBB40BF3807E8",1)</v>
      </c>
      <c r="D10" s="75" t="s">
        <v>1611</v>
      </c>
      <c r="E10" s="75" t="s">
        <v>1612</v>
      </c>
      <c r="F10" s="76">
        <v>115778</v>
      </c>
      <c r="G10" s="77">
        <v>60000</v>
      </c>
      <c r="H10" s="77" t="s">
        <v>39</v>
      </c>
      <c r="I10" s="74" t="s">
        <v>1597</v>
      </c>
    </row>
    <row r="11" s="1" customFormat="1" ht="40" customHeight="1" spans="1:9">
      <c r="A11" s="47" t="s">
        <v>152</v>
      </c>
      <c r="B11" s="71">
        <v>9</v>
      </c>
      <c r="C11" s="71" t="str">
        <f>_xlfn.DISPIMG("ID_A962B447B9374ACDB54DA6072F69A698",1)</f>
        <v>=DISPIMG("ID_A962B447B9374ACDB54DA6072F69A698",1)</v>
      </c>
      <c r="D11" s="44" t="s">
        <v>103</v>
      </c>
      <c r="E11" s="44" t="s">
        <v>1613</v>
      </c>
      <c r="F11" s="72">
        <v>848612</v>
      </c>
      <c r="G11" s="73">
        <v>150000</v>
      </c>
      <c r="H11" s="73">
        <v>15000</v>
      </c>
      <c r="I11" s="71" t="s">
        <v>1597</v>
      </c>
    </row>
    <row r="12" s="1" customFormat="1" ht="40" customHeight="1" spans="1:9">
      <c r="A12" s="41" t="s">
        <v>152</v>
      </c>
      <c r="B12" s="74">
        <v>10</v>
      </c>
      <c r="C12" s="74" t="str">
        <f>_xlfn.DISPIMG("ID_3F01711F02924B928AF22A3322088269",1)</f>
        <v>=DISPIMG("ID_3F01711F02924B928AF22A3322088269",1)</v>
      </c>
      <c r="D12" s="75" t="s">
        <v>115</v>
      </c>
      <c r="E12" s="75" t="s">
        <v>1614</v>
      </c>
      <c r="F12" s="76">
        <v>375854</v>
      </c>
      <c r="G12" s="77">
        <v>200000</v>
      </c>
      <c r="H12" s="77">
        <v>25000</v>
      </c>
      <c r="I12" s="74" t="s">
        <v>1597</v>
      </c>
    </row>
    <row r="13" s="1" customFormat="1" ht="40" customHeight="1" spans="1:9">
      <c r="A13" s="47" t="s">
        <v>152</v>
      </c>
      <c r="B13" s="71">
        <v>11</v>
      </c>
      <c r="C13" s="71" t="str">
        <f>_xlfn.DISPIMG("ID_96C9A41FE3F94ADC8CC27D709951F53C",1)</f>
        <v>=DISPIMG("ID_96C9A41FE3F94ADC8CC27D709951F53C",1)</v>
      </c>
      <c r="D13" s="44" t="s">
        <v>1615</v>
      </c>
      <c r="E13" s="44" t="s">
        <v>1616</v>
      </c>
      <c r="F13" s="72">
        <v>138737</v>
      </c>
      <c r="G13" s="73">
        <v>60000</v>
      </c>
      <c r="H13" s="73">
        <v>10000</v>
      </c>
      <c r="I13" s="71" t="s">
        <v>1597</v>
      </c>
    </row>
    <row r="14" s="1" customFormat="1" ht="40" customHeight="1" spans="1:9">
      <c r="A14" s="41" t="s">
        <v>152</v>
      </c>
      <c r="B14" s="74">
        <v>12</v>
      </c>
      <c r="C14" s="74" t="str">
        <f>_xlfn.DISPIMG("ID_51D64287C69C4E72B4DC568CA5C0A8DB",1)</f>
        <v>=DISPIMG("ID_51D64287C69C4E72B4DC568CA5C0A8DB",1)</v>
      </c>
      <c r="D14" s="75" t="s">
        <v>1617</v>
      </c>
      <c r="E14" s="75" t="s">
        <v>1618</v>
      </c>
      <c r="F14" s="76">
        <v>171266</v>
      </c>
      <c r="G14" s="77">
        <v>98000</v>
      </c>
      <c r="H14" s="77">
        <v>15000</v>
      </c>
      <c r="I14" s="74" t="s">
        <v>1601</v>
      </c>
    </row>
    <row r="15" s="1" customFormat="1" ht="40" customHeight="1" spans="1:9">
      <c r="A15" s="47" t="s">
        <v>152</v>
      </c>
      <c r="B15" s="71">
        <v>13</v>
      </c>
      <c r="C15" s="71" t="str">
        <f>_xlfn.DISPIMG("ID_A01A56B69EC04AEAA2EB34AE6E1AFE2E",1)</f>
        <v>=DISPIMG("ID_A01A56B69EC04AEAA2EB34AE6E1AFE2E",1)</v>
      </c>
      <c r="D15" s="44" t="s">
        <v>206</v>
      </c>
      <c r="E15" s="44" t="s">
        <v>1619</v>
      </c>
      <c r="F15" s="72">
        <v>65773</v>
      </c>
      <c r="G15" s="73">
        <v>5000</v>
      </c>
      <c r="H15" s="73">
        <v>1000</v>
      </c>
      <c r="I15" s="71" t="s">
        <v>1597</v>
      </c>
    </row>
    <row r="16" s="1" customFormat="1" ht="40" customHeight="1" spans="1:9">
      <c r="A16" s="41" t="s">
        <v>152</v>
      </c>
      <c r="B16" s="74">
        <v>14</v>
      </c>
      <c r="C16" s="74" t="str">
        <f>_xlfn.DISPIMG("ID_C0369C1D442B4E6DBE6E0A428034CC10",1)</f>
        <v>=DISPIMG("ID_C0369C1D442B4E6DBE6E0A428034CC10",1)</v>
      </c>
      <c r="D16" s="75" t="s">
        <v>844</v>
      </c>
      <c r="E16" s="75" t="s">
        <v>1620</v>
      </c>
      <c r="F16" s="76">
        <v>77569</v>
      </c>
      <c r="G16" s="77">
        <v>25000</v>
      </c>
      <c r="H16" s="77">
        <v>1000</v>
      </c>
      <c r="I16" s="74" t="s">
        <v>1601</v>
      </c>
    </row>
    <row r="17" s="1" customFormat="1" ht="40" customHeight="1" spans="1:9">
      <c r="A17" s="47" t="s">
        <v>152</v>
      </c>
      <c r="B17" s="71">
        <v>15</v>
      </c>
      <c r="C17" s="71" t="str">
        <f>_xlfn.DISPIMG("ID_FB1725C3E8784889B3C65B0A2BFFCEF2",1)</f>
        <v>=DISPIMG("ID_FB1725C3E8784889B3C65B0A2BFFCEF2",1)</v>
      </c>
      <c r="D17" s="44" t="s">
        <v>136</v>
      </c>
      <c r="E17" s="44" t="s">
        <v>1621</v>
      </c>
      <c r="F17" s="72">
        <v>124990</v>
      </c>
      <c r="G17" s="73">
        <v>30000</v>
      </c>
      <c r="H17" s="73">
        <v>5000</v>
      </c>
      <c r="I17" s="71" t="s">
        <v>1597</v>
      </c>
    </row>
    <row r="18" s="1" customFormat="1" ht="40" customHeight="1" spans="1:9">
      <c r="A18" s="41" t="s">
        <v>152</v>
      </c>
      <c r="B18" s="74">
        <v>16</v>
      </c>
      <c r="C18" s="74" t="str">
        <f>_xlfn.DISPIMG("ID_DAEAD40171974277989C87D4F39C2C7E",1)</f>
        <v>=DISPIMG("ID_DAEAD40171974277989C87D4F39C2C7E",1)</v>
      </c>
      <c r="D18" s="75" t="s">
        <v>1622</v>
      </c>
      <c r="E18" s="75" t="s">
        <v>1623</v>
      </c>
      <c r="F18" s="76">
        <v>50198</v>
      </c>
      <c r="G18" s="77">
        <v>10000</v>
      </c>
      <c r="H18" s="77">
        <v>1000</v>
      </c>
      <c r="I18" s="74" t="s">
        <v>1597</v>
      </c>
    </row>
    <row r="19" s="1" customFormat="1" ht="40" customHeight="1" spans="1:9">
      <c r="A19" s="47" t="s">
        <v>289</v>
      </c>
      <c r="B19" s="71">
        <v>17</v>
      </c>
      <c r="C19" s="71" t="str">
        <f>_xlfn.DISPIMG("ID_15DF3A6DBEC148C686645E22E40F4E4C",1)</f>
        <v>=DISPIMG("ID_15DF3A6DBEC148C686645E22E40F4E4C",1)</v>
      </c>
      <c r="D19" s="44" t="s">
        <v>1624</v>
      </c>
      <c r="E19" s="44" t="s">
        <v>1625</v>
      </c>
      <c r="F19" s="72">
        <v>75387</v>
      </c>
      <c r="G19" s="73">
        <v>10000</v>
      </c>
      <c r="H19" s="73" t="s">
        <v>39</v>
      </c>
      <c r="I19" s="71" t="s">
        <v>1601</v>
      </c>
    </row>
    <row r="20" s="1" customFormat="1" ht="40" customHeight="1" spans="1:9">
      <c r="A20" s="41" t="s">
        <v>289</v>
      </c>
      <c r="B20" s="74">
        <v>18</v>
      </c>
      <c r="C20" s="74" t="str">
        <f>_xlfn.DISPIMG("ID_F5EA9D11E33840EFBE3B8CBD3192C044",1)</f>
        <v>=DISPIMG("ID_F5EA9D11E33840EFBE3B8CBD3192C044",1)</v>
      </c>
      <c r="D20" s="75" t="s">
        <v>1626</v>
      </c>
      <c r="E20" s="75" t="s">
        <v>1627</v>
      </c>
      <c r="F20" s="76">
        <v>23349</v>
      </c>
      <c r="G20" s="77">
        <v>10000</v>
      </c>
      <c r="H20" s="77">
        <v>500</v>
      </c>
      <c r="I20" s="74" t="s">
        <v>1601</v>
      </c>
    </row>
    <row r="21" s="1" customFormat="1" ht="40" customHeight="1" spans="1:9">
      <c r="A21" s="47" t="s">
        <v>289</v>
      </c>
      <c r="B21" s="71">
        <v>19</v>
      </c>
      <c r="C21" s="71" t="str">
        <f>_xlfn.DISPIMG("ID_2484A8D868EC425E8939737377034235",1)</f>
        <v>=DISPIMG("ID_2484A8D868EC425E8939737377034235",1)</v>
      </c>
      <c r="D21" s="44" t="s">
        <v>1628</v>
      </c>
      <c r="E21" s="44" t="s">
        <v>1629</v>
      </c>
      <c r="F21" s="72">
        <v>2732</v>
      </c>
      <c r="G21" s="73" t="s">
        <v>39</v>
      </c>
      <c r="H21" s="73">
        <v>500</v>
      </c>
      <c r="I21" s="71" t="s">
        <v>1601</v>
      </c>
    </row>
    <row r="22" s="1" customFormat="1" ht="40" customHeight="1" spans="1:9">
      <c r="A22" s="41" t="s">
        <v>1630</v>
      </c>
      <c r="B22" s="74">
        <v>20</v>
      </c>
      <c r="C22" s="74" t="str">
        <f>_xlfn.DISPIMG("ID_DA11735B583344F4A82F2C67BAA8654D",1)</f>
        <v>=DISPIMG("ID_DA11735B583344F4A82F2C67BAA8654D",1)</v>
      </c>
      <c r="D22" s="75" t="s">
        <v>1631</v>
      </c>
      <c r="E22" s="75" t="s">
        <v>1632</v>
      </c>
      <c r="F22" s="76">
        <v>167078</v>
      </c>
      <c r="G22" s="77">
        <v>25000</v>
      </c>
      <c r="H22" s="77">
        <v>5000</v>
      </c>
      <c r="I22" s="74" t="s">
        <v>1597</v>
      </c>
    </row>
    <row r="23" s="1" customFormat="1" ht="40" customHeight="1" spans="1:9">
      <c r="A23" s="47" t="s">
        <v>1630</v>
      </c>
      <c r="B23" s="71">
        <v>21</v>
      </c>
      <c r="C23" s="71" t="str">
        <f>_xlfn.DISPIMG("ID_F845F0F5143C4371838AA6AAD6CD942F",1)</f>
        <v>=DISPIMG("ID_F845F0F5143C4371838AA6AAD6CD942F",1)</v>
      </c>
      <c r="D23" s="44" t="s">
        <v>1633</v>
      </c>
      <c r="E23" s="44" t="s">
        <v>1634</v>
      </c>
      <c r="F23" s="72">
        <v>76276</v>
      </c>
      <c r="G23" s="73">
        <v>20000</v>
      </c>
      <c r="H23" s="73">
        <v>2000</v>
      </c>
      <c r="I23" s="71" t="s">
        <v>1597</v>
      </c>
    </row>
    <row r="24" s="1" customFormat="1" ht="40" customHeight="1" spans="1:9">
      <c r="A24" s="41" t="s">
        <v>1630</v>
      </c>
      <c r="B24" s="74">
        <v>22</v>
      </c>
      <c r="C24" s="74" t="str">
        <f>_xlfn.DISPIMG("ID_A290CB62DF864653937157D52A36932D",1)</f>
        <v>=DISPIMG("ID_A290CB62DF864653937157D52A36932D",1)</v>
      </c>
      <c r="D24" s="75" t="s">
        <v>1635</v>
      </c>
      <c r="E24" s="75" t="s">
        <v>1636</v>
      </c>
      <c r="F24" s="76">
        <v>67475</v>
      </c>
      <c r="G24" s="77">
        <v>20000</v>
      </c>
      <c r="H24" s="77">
        <v>3000</v>
      </c>
      <c r="I24" s="74" t="s">
        <v>1601</v>
      </c>
    </row>
    <row r="25" s="1" customFormat="1" ht="40" customHeight="1" spans="1:9">
      <c r="A25" s="78" t="s">
        <v>516</v>
      </c>
      <c r="B25" s="79">
        <v>24</v>
      </c>
      <c r="C25" s="79" t="str">
        <f>_xlfn.DISPIMG("ID_626A900E97CD4D76BD090642741F6160",1)</f>
        <v>=DISPIMG("ID_626A900E97CD4D76BD090642741F6160",1)</v>
      </c>
      <c r="D25" s="80" t="s">
        <v>1637</v>
      </c>
      <c r="E25" s="80" t="s">
        <v>1638</v>
      </c>
      <c r="F25" s="81">
        <v>98009</v>
      </c>
      <c r="G25" s="82">
        <v>150000</v>
      </c>
      <c r="H25" s="82">
        <v>5000</v>
      </c>
      <c r="I25" s="79" t="s">
        <v>1597</v>
      </c>
    </row>
  </sheetData>
  <autoFilter xmlns:etc="http://www.wps.cn/officeDocument/2017/etCustomData" ref="A2:I2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N29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H12" sqref="H12"/>
    </sheetView>
  </sheetViews>
  <sheetFormatPr defaultColWidth="9.81666666666667" defaultRowHeight="13.5"/>
  <cols>
    <col min="1" max="1" width="7.725" style="34" customWidth="1"/>
    <col min="2" max="2" width="9.14166666666667" style="34" customWidth="1"/>
    <col min="3" max="3" width="7.625" style="34" customWidth="1"/>
    <col min="4" max="4" width="24.3583333333333" style="34" customWidth="1"/>
    <col min="5" max="5" width="15.7583333333333" style="34" customWidth="1"/>
    <col min="6" max="6" width="18.7583333333333" style="34" customWidth="1"/>
    <col min="7" max="7" width="11.3583333333333" style="56" customWidth="1"/>
    <col min="8" max="8" width="11.3583333333333" style="57" customWidth="1"/>
    <col min="9" max="9" width="11.3583333333333" style="34" customWidth="1"/>
    <col min="10" max="10" width="14.125" style="58" customWidth="1"/>
    <col min="11" max="11" width="14.5" style="58" customWidth="1"/>
    <col min="12" max="12" width="7.38333333333333" style="34" customWidth="1"/>
    <col min="13" max="13" width="13.3583333333333" style="34" customWidth="1"/>
    <col min="14" max="14" width="37.6333333333333" style="34" customWidth="1"/>
    <col min="15" max="16379" width="9.64166666666667" style="1"/>
    <col min="16380" max="16384" width="9.81666666666667" style="1"/>
  </cols>
  <sheetData>
    <row r="1" s="1" customFormat="1" ht="70" customHeight="1" spans="1:14">
      <c r="A1" s="7" t="s">
        <v>1639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0" customHeight="1" spans="1:14">
      <c r="A2" s="59" t="s">
        <v>1114</v>
      </c>
      <c r="B2" s="59" t="s">
        <v>7</v>
      </c>
      <c r="C2" s="59" t="s">
        <v>9</v>
      </c>
      <c r="D2" s="59" t="s">
        <v>1640</v>
      </c>
      <c r="E2" s="59" t="s">
        <v>1641</v>
      </c>
      <c r="F2" s="59" t="s">
        <v>1642</v>
      </c>
      <c r="G2" s="60" t="s">
        <v>1643</v>
      </c>
      <c r="H2" s="61" t="s">
        <v>18</v>
      </c>
      <c r="I2" s="59" t="s">
        <v>1644</v>
      </c>
      <c r="J2" s="59" t="s">
        <v>1645</v>
      </c>
      <c r="K2" s="59" t="s">
        <v>1646</v>
      </c>
      <c r="L2" s="59" t="s">
        <v>30</v>
      </c>
      <c r="M2" s="59" t="s">
        <v>1647</v>
      </c>
      <c r="N2" s="62" t="s">
        <v>1582</v>
      </c>
    </row>
    <row r="3" s="1" customFormat="1" ht="40" customHeight="1" spans="1:14">
      <c r="A3" s="15" t="s">
        <v>1126</v>
      </c>
      <c r="B3" s="15">
        <v>1</v>
      </c>
      <c r="C3" s="15" t="str">
        <f>_xlfn.DISPIMG("ID_DF88F420442B491A9C2F559EA8524D3B",1)</f>
        <v>=DISPIMG("ID_DF88F420442B491A9C2F559EA8524D3B",1)</v>
      </c>
      <c r="D3" s="15" t="s">
        <v>68</v>
      </c>
      <c r="E3" s="15">
        <v>1267663386</v>
      </c>
      <c r="F3" s="15" t="s">
        <v>1648</v>
      </c>
      <c r="G3" s="63">
        <v>8020884</v>
      </c>
      <c r="H3" s="18">
        <v>158</v>
      </c>
      <c r="I3" s="23" t="s">
        <v>39</v>
      </c>
      <c r="J3" s="23" t="s">
        <v>39</v>
      </c>
      <c r="K3" s="23">
        <v>1800000</v>
      </c>
      <c r="L3" s="15" t="s">
        <v>43</v>
      </c>
      <c r="M3" s="15" t="s">
        <v>1597</v>
      </c>
      <c r="N3" s="64" t="s">
        <v>1649</v>
      </c>
    </row>
    <row r="4" s="1" customFormat="1" ht="40" customHeight="1" spans="1:14">
      <c r="A4" s="15" t="s">
        <v>1126</v>
      </c>
      <c r="B4" s="15">
        <v>2</v>
      </c>
      <c r="C4" s="15" t="str">
        <f>_xlfn.DISPIMG("ID_2822CA7DD28E4D9B81A96CD835701EAD",1)</f>
        <v>=DISPIMG("ID_2822CA7DD28E4D9B81A96CD835701EAD",1)</v>
      </c>
      <c r="D4" s="15" t="s">
        <v>724</v>
      </c>
      <c r="E4" s="15">
        <v>1319545823</v>
      </c>
      <c r="F4" s="15" t="s">
        <v>727</v>
      </c>
      <c r="G4" s="63">
        <v>3000741</v>
      </c>
      <c r="H4" s="18">
        <v>35</v>
      </c>
      <c r="I4" s="23">
        <v>30000</v>
      </c>
      <c r="J4" s="23">
        <v>50000</v>
      </c>
      <c r="K4" s="23">
        <v>65000</v>
      </c>
      <c r="L4" s="15" t="s">
        <v>43</v>
      </c>
      <c r="M4" s="15" t="s">
        <v>1597</v>
      </c>
      <c r="N4" s="64" t="s">
        <v>1650</v>
      </c>
    </row>
    <row r="5" s="1" customFormat="1" ht="40" customHeight="1" spans="1:14">
      <c r="A5" s="15" t="s">
        <v>1651</v>
      </c>
      <c r="B5" s="15">
        <v>3</v>
      </c>
      <c r="C5" s="15" t="str">
        <f>_xlfn.DISPIMG("ID_842E70D6C5444F43B9B07890F4642BA6",1)</f>
        <v>=DISPIMG("ID_842E70D6C5444F43B9B07890F4642BA6",1)</v>
      </c>
      <c r="D5" s="15" t="s">
        <v>534</v>
      </c>
      <c r="E5" s="15">
        <v>1478432811</v>
      </c>
      <c r="F5" s="15" t="s">
        <v>59</v>
      </c>
      <c r="G5" s="63">
        <v>2413550</v>
      </c>
      <c r="H5" s="18" t="s">
        <v>39</v>
      </c>
      <c r="I5" s="23">
        <v>37000</v>
      </c>
      <c r="J5" s="23">
        <v>37000</v>
      </c>
      <c r="K5" s="23">
        <v>78000</v>
      </c>
      <c r="L5" s="15" t="s">
        <v>43</v>
      </c>
      <c r="M5" s="15" t="s">
        <v>1597</v>
      </c>
      <c r="N5" s="64" t="s">
        <v>1652</v>
      </c>
    </row>
    <row r="6" s="1" customFormat="1" ht="40" customHeight="1" spans="1:14">
      <c r="A6" s="15" t="s">
        <v>152</v>
      </c>
      <c r="B6" s="15">
        <v>4</v>
      </c>
      <c r="C6" s="15" t="str">
        <f>_xlfn.DISPIMG("ID_5465629EB21547AC9697D20C626B9ADE",1)</f>
        <v>=DISPIMG("ID_5465629EB21547AC9697D20C626B9ADE",1)</v>
      </c>
      <c r="D6" s="15" t="s">
        <v>103</v>
      </c>
      <c r="E6" s="15">
        <v>1261372872</v>
      </c>
      <c r="F6" s="15" t="s">
        <v>1653</v>
      </c>
      <c r="G6" s="63">
        <v>8785778</v>
      </c>
      <c r="H6" s="18" t="s">
        <v>39</v>
      </c>
      <c r="I6" s="23">
        <v>140000</v>
      </c>
      <c r="J6" s="23">
        <v>160000</v>
      </c>
      <c r="K6" s="23">
        <v>210000</v>
      </c>
      <c r="L6" s="15" t="s">
        <v>43</v>
      </c>
      <c r="M6" s="15" t="s">
        <v>1597</v>
      </c>
      <c r="N6" s="64" t="s">
        <v>1654</v>
      </c>
    </row>
    <row r="7" s="1" customFormat="1" ht="40" customHeight="1" spans="1:14">
      <c r="A7" s="15" t="s">
        <v>152</v>
      </c>
      <c r="B7" s="15">
        <v>5</v>
      </c>
      <c r="C7" s="15" t="str">
        <f>_xlfn.DISPIMG("ID_26D1295F321E48D4BF3B83DA8D2BEDF0",1)</f>
        <v>=DISPIMG("ID_26D1295F321E48D4BF3B83DA8D2BEDF0",1)</v>
      </c>
      <c r="D7" s="15" t="s">
        <v>115</v>
      </c>
      <c r="E7" s="15">
        <v>1706040944</v>
      </c>
      <c r="F7" s="15" t="s">
        <v>187</v>
      </c>
      <c r="G7" s="63">
        <v>4144204</v>
      </c>
      <c r="H7" s="18" t="s">
        <v>39</v>
      </c>
      <c r="I7" s="23">
        <v>120000</v>
      </c>
      <c r="J7" s="23">
        <v>200000</v>
      </c>
      <c r="K7" s="23">
        <v>250000</v>
      </c>
      <c r="L7" s="15" t="s">
        <v>43</v>
      </c>
      <c r="M7" s="15" t="s">
        <v>1597</v>
      </c>
      <c r="N7" s="64" t="s">
        <v>1655</v>
      </c>
    </row>
    <row r="8" s="1" customFormat="1" ht="40" customHeight="1" spans="1:14">
      <c r="A8" s="15" t="s">
        <v>152</v>
      </c>
      <c r="B8" s="15">
        <v>6</v>
      </c>
      <c r="C8" s="15" t="str">
        <f>_xlfn.DISPIMG("ID_EA258259F9F540969492DBE4307EC17C",1)</f>
        <v>=DISPIMG("ID_EA258259F9F540969492DBE4307EC17C",1)</v>
      </c>
      <c r="D8" s="15" t="s">
        <v>162</v>
      </c>
      <c r="E8" s="15">
        <v>1531106761</v>
      </c>
      <c r="F8" s="15" t="s">
        <v>187</v>
      </c>
      <c r="G8" s="63">
        <v>1713714</v>
      </c>
      <c r="H8" s="18" t="s">
        <v>39</v>
      </c>
      <c r="I8" s="23" t="s">
        <v>39</v>
      </c>
      <c r="J8" s="23">
        <v>58000</v>
      </c>
      <c r="K8" s="23">
        <v>70000</v>
      </c>
      <c r="L8" s="15" t="s">
        <v>43</v>
      </c>
      <c r="M8" s="15" t="s">
        <v>1597</v>
      </c>
      <c r="N8" s="64" t="s">
        <v>1656</v>
      </c>
    </row>
    <row r="9" s="1" customFormat="1" ht="40" customHeight="1" spans="1:14">
      <c r="A9" s="15" t="s">
        <v>152</v>
      </c>
      <c r="B9" s="15">
        <v>7</v>
      </c>
      <c r="C9" t="str">
        <f>_xlfn.DISPIMG("ID_9D4BCA200A3A4EB8A0D73854126E75BE",1)</f>
        <v>=DISPIMG("ID_9D4BCA200A3A4EB8A0D73854126E75BE",1)</v>
      </c>
      <c r="D9" s="15" t="s">
        <v>1611</v>
      </c>
      <c r="E9" s="15">
        <v>67395245</v>
      </c>
      <c r="F9" s="15" t="s">
        <v>1657</v>
      </c>
      <c r="G9" s="63">
        <v>7952272</v>
      </c>
      <c r="H9" s="18" t="s">
        <v>39</v>
      </c>
      <c r="I9" s="23">
        <v>79000</v>
      </c>
      <c r="J9" s="23">
        <v>109000</v>
      </c>
      <c r="K9" s="23">
        <v>129000</v>
      </c>
      <c r="L9" s="15" t="s">
        <v>43</v>
      </c>
      <c r="M9" s="15" t="s">
        <v>1601</v>
      </c>
      <c r="N9" s="64" t="s">
        <v>1658</v>
      </c>
    </row>
    <row r="10" s="1" customFormat="1" ht="40" customHeight="1" spans="1:14">
      <c r="A10" s="15" t="s">
        <v>152</v>
      </c>
      <c r="B10" s="15">
        <v>8</v>
      </c>
      <c r="C10" s="15" t="str">
        <f>_xlfn.DISPIMG("ID_44D20FEE6BF8478AA7A833989426D7D3",1)</f>
        <v>=DISPIMG("ID_44D20FEE6BF8478AA7A833989426D7D3",1)</v>
      </c>
      <c r="D10" s="15" t="s">
        <v>1659</v>
      </c>
      <c r="E10" s="15">
        <v>1847953240</v>
      </c>
      <c r="F10" s="15" t="s">
        <v>1660</v>
      </c>
      <c r="G10" s="63">
        <v>1359248</v>
      </c>
      <c r="H10" s="18" t="s">
        <v>39</v>
      </c>
      <c r="I10" s="23">
        <v>50000</v>
      </c>
      <c r="J10" s="23">
        <v>50000</v>
      </c>
      <c r="K10" s="23">
        <v>65000</v>
      </c>
      <c r="L10" s="15" t="s">
        <v>43</v>
      </c>
      <c r="M10" s="15" t="s">
        <v>1597</v>
      </c>
      <c r="N10" s="64" t="s">
        <v>1661</v>
      </c>
    </row>
    <row r="11" s="1" customFormat="1" ht="40" customHeight="1" spans="1:14">
      <c r="A11" s="15" t="s">
        <v>152</v>
      </c>
      <c r="B11" s="15">
        <v>9</v>
      </c>
      <c r="C11" s="15" t="str">
        <f>_xlfn.DISPIMG("ID_8503B5DF2ACE4D4F8E79C83170350E98",1)</f>
        <v>=DISPIMG("ID_8503B5DF2ACE4D4F8E79C83170350E98",1)</v>
      </c>
      <c r="D11" s="15" t="s">
        <v>206</v>
      </c>
      <c r="E11" s="15">
        <v>2371429600</v>
      </c>
      <c r="F11" s="15" t="s">
        <v>187</v>
      </c>
      <c r="G11" s="63">
        <v>789071</v>
      </c>
      <c r="H11" s="18" t="s">
        <v>39</v>
      </c>
      <c r="I11" s="23" t="s">
        <v>39</v>
      </c>
      <c r="J11" s="23">
        <v>30000</v>
      </c>
      <c r="K11" s="23">
        <v>35000</v>
      </c>
      <c r="L11" s="15" t="s">
        <v>43</v>
      </c>
      <c r="M11" s="15" t="s">
        <v>1597</v>
      </c>
      <c r="N11" s="64" t="s">
        <v>1662</v>
      </c>
    </row>
    <row r="12" s="1" customFormat="1" ht="40" customHeight="1" spans="1:14">
      <c r="A12" s="15" t="s">
        <v>152</v>
      </c>
      <c r="B12" s="15">
        <v>10</v>
      </c>
      <c r="C12" s="15" t="str">
        <f>_xlfn.DISPIMG("ID_F25E324AE5054E67926089463596587E",1)</f>
        <v>=DISPIMG("ID_F25E324AE5054E67926089463596587E",1)</v>
      </c>
      <c r="D12" s="15" t="s">
        <v>1663</v>
      </c>
      <c r="E12" s="15">
        <v>1488857521</v>
      </c>
      <c r="F12" s="15" t="s">
        <v>1664</v>
      </c>
      <c r="G12" s="63">
        <v>1043178</v>
      </c>
      <c r="H12" s="18">
        <v>745</v>
      </c>
      <c r="I12" s="23">
        <v>30000</v>
      </c>
      <c r="J12" s="23">
        <v>30000</v>
      </c>
      <c r="K12" s="23">
        <v>55000</v>
      </c>
      <c r="L12" s="15" t="s">
        <v>43</v>
      </c>
      <c r="M12" s="15" t="s">
        <v>1597</v>
      </c>
      <c r="N12" s="64" t="s">
        <v>1665</v>
      </c>
    </row>
    <row r="13" s="1" customFormat="1" ht="40" customHeight="1" spans="1:14">
      <c r="A13" s="15" t="s">
        <v>152</v>
      </c>
      <c r="B13" s="15">
        <v>11</v>
      </c>
      <c r="C13" s="15" t="str">
        <f>_xlfn.DISPIMG("ID_025CA94001EB422FA8A8B10D9D24F3E4",1)</f>
        <v>=DISPIMG("ID_025CA94001EB422FA8A8B10D9D24F3E4",1)</v>
      </c>
      <c r="D13" s="15" t="s">
        <v>184</v>
      </c>
      <c r="E13" s="15">
        <v>1959288705</v>
      </c>
      <c r="F13" s="15" t="s">
        <v>187</v>
      </c>
      <c r="G13" s="63">
        <v>504326</v>
      </c>
      <c r="H13" s="18" t="s">
        <v>39</v>
      </c>
      <c r="I13" s="23" t="s">
        <v>39</v>
      </c>
      <c r="J13" s="23">
        <v>50000</v>
      </c>
      <c r="K13" s="23">
        <v>50000</v>
      </c>
      <c r="L13" s="15" t="s">
        <v>43</v>
      </c>
      <c r="M13" s="15" t="s">
        <v>1597</v>
      </c>
      <c r="N13" s="64" t="s">
        <v>1666</v>
      </c>
    </row>
    <row r="14" s="1" customFormat="1" ht="40" customHeight="1" spans="1:14">
      <c r="A14" s="15" t="s">
        <v>152</v>
      </c>
      <c r="B14" s="15">
        <v>12</v>
      </c>
      <c r="C14" s="15" t="str">
        <f>_xlfn.DISPIMG("ID_76C7B55021AF42D1BA111CC35C0756B9",1)</f>
        <v>=DISPIMG("ID_76C7B55021AF42D1BA111CC35C0756B9",1)</v>
      </c>
      <c r="D14" s="15" t="s">
        <v>125</v>
      </c>
      <c r="E14" s="15">
        <v>2826374726</v>
      </c>
      <c r="F14" s="15" t="s">
        <v>187</v>
      </c>
      <c r="G14" s="63">
        <v>347873</v>
      </c>
      <c r="H14" s="18">
        <v>775</v>
      </c>
      <c r="I14" s="23">
        <v>20000</v>
      </c>
      <c r="J14" s="23">
        <v>50000</v>
      </c>
      <c r="K14" s="23">
        <v>98000</v>
      </c>
      <c r="L14" s="15" t="s">
        <v>43</v>
      </c>
      <c r="M14" s="15" t="s">
        <v>1597</v>
      </c>
      <c r="N14" s="64" t="s">
        <v>1667</v>
      </c>
    </row>
    <row r="15" s="1" customFormat="1" ht="40" customHeight="1" spans="1:14">
      <c r="A15" s="15" t="s">
        <v>152</v>
      </c>
      <c r="B15" s="15">
        <v>13</v>
      </c>
      <c r="C15" s="15" t="str">
        <f>_xlfn.DISPIMG("ID_6F063E78CAA44C75BAB4ABB2103D579B",1)</f>
        <v>=DISPIMG("ID_6F063E78CAA44C75BAB4ABB2103D579B",1)</v>
      </c>
      <c r="D15" s="15" t="s">
        <v>136</v>
      </c>
      <c r="E15" s="15">
        <v>2374561522</v>
      </c>
      <c r="F15" s="15" t="s">
        <v>152</v>
      </c>
      <c r="G15" s="63">
        <v>928642</v>
      </c>
      <c r="H15" s="18">
        <v>748</v>
      </c>
      <c r="I15" s="23" t="s">
        <v>39</v>
      </c>
      <c r="J15" s="23" t="s">
        <v>1668</v>
      </c>
      <c r="K15" s="23">
        <v>128000</v>
      </c>
      <c r="L15" s="15" t="s">
        <v>43</v>
      </c>
      <c r="M15" s="15" t="s">
        <v>1597</v>
      </c>
      <c r="N15" s="64" t="s">
        <v>1669</v>
      </c>
    </row>
    <row r="16" s="1" customFormat="1" ht="40" customHeight="1" spans="1:14">
      <c r="A16" s="15" t="s">
        <v>289</v>
      </c>
      <c r="B16" s="15">
        <v>14</v>
      </c>
      <c r="C16" s="15" t="str">
        <f>_xlfn.DISPIMG("ID_1FBA0DA8850F45B18BD38BE9C61D257B",1)</f>
        <v>=DISPIMG("ID_1FBA0DA8850F45B18BD38BE9C61D257B",1)</v>
      </c>
      <c r="D16" s="15" t="s">
        <v>1670</v>
      </c>
      <c r="E16" s="15">
        <v>121170885</v>
      </c>
      <c r="F16" s="15" t="s">
        <v>321</v>
      </c>
      <c r="G16" s="63">
        <v>264977</v>
      </c>
      <c r="H16" s="18" t="s">
        <v>39</v>
      </c>
      <c r="I16" s="23">
        <v>1500</v>
      </c>
      <c r="J16" s="23">
        <v>1800</v>
      </c>
      <c r="K16" s="23">
        <v>2000</v>
      </c>
      <c r="L16" s="15" t="s">
        <v>43</v>
      </c>
      <c r="M16" s="15" t="s">
        <v>1597</v>
      </c>
      <c r="N16" s="64" t="s">
        <v>1671</v>
      </c>
    </row>
    <row r="17" s="1" customFormat="1" ht="40" customHeight="1" spans="1:14">
      <c r="A17" s="15" t="s">
        <v>1598</v>
      </c>
      <c r="B17" s="15">
        <v>15</v>
      </c>
      <c r="C17" s="15" t="str">
        <f>_xlfn.DISPIMG("ID_FF56D58A0B064C748DEF09A2D4A64B27",1)</f>
        <v>=DISPIMG("ID_FF56D58A0B064C748DEF09A2D4A64B27",1)</v>
      </c>
      <c r="D17" s="15" t="s">
        <v>490</v>
      </c>
      <c r="E17" s="15">
        <v>1123957160</v>
      </c>
      <c r="F17" s="15" t="s">
        <v>493</v>
      </c>
      <c r="G17" s="63">
        <v>506039</v>
      </c>
      <c r="H17" s="18" t="s">
        <v>39</v>
      </c>
      <c r="I17" s="23">
        <v>10000</v>
      </c>
      <c r="J17" s="23">
        <v>10000</v>
      </c>
      <c r="K17" s="23">
        <v>13000</v>
      </c>
      <c r="L17" s="15" t="s">
        <v>43</v>
      </c>
      <c r="M17" s="15" t="s">
        <v>1597</v>
      </c>
      <c r="N17" s="64" t="s">
        <v>1672</v>
      </c>
    </row>
    <row r="18" s="1" customFormat="1" ht="40" customHeight="1" spans="1:14">
      <c r="A18" s="15" t="s">
        <v>516</v>
      </c>
      <c r="B18" s="15">
        <v>16</v>
      </c>
      <c r="C18" s="15" t="str">
        <f>_xlfn.DISPIMG("ID_A470CADDD32A4951BCC6495B4A9B85F5",1)</f>
        <v>=DISPIMG("ID_A470CADDD32A4951BCC6495B4A9B85F5",1)</v>
      </c>
      <c r="D18" s="15" t="s">
        <v>1481</v>
      </c>
      <c r="E18" s="15">
        <v>95338390</v>
      </c>
      <c r="F18" s="15" t="s">
        <v>1673</v>
      </c>
      <c r="G18" s="63">
        <v>14122959</v>
      </c>
      <c r="H18" s="18">
        <v>802</v>
      </c>
      <c r="I18" s="23">
        <v>80000</v>
      </c>
      <c r="J18" s="23">
        <v>108000</v>
      </c>
      <c r="K18" s="22" t="s">
        <v>1674</v>
      </c>
      <c r="L18" s="15" t="s">
        <v>43</v>
      </c>
      <c r="M18" s="15" t="s">
        <v>1597</v>
      </c>
      <c r="N18" s="64" t="s">
        <v>1675</v>
      </c>
    </row>
    <row r="19" s="1" customFormat="1" ht="40" customHeight="1" spans="1:14">
      <c r="A19" s="15" t="s">
        <v>516</v>
      </c>
      <c r="B19" s="15">
        <v>17</v>
      </c>
      <c r="C19" s="15" t="str">
        <f>_xlfn.DISPIMG("ID_20E53883F1124D6F8D6D09ABD2B68B86",1)</f>
        <v>=DISPIMG("ID_20E53883F1124D6F8D6D09ABD2B68B86",1)</v>
      </c>
      <c r="D19" s="15" t="s">
        <v>1546</v>
      </c>
      <c r="E19" s="15">
        <v>178752821</v>
      </c>
      <c r="F19" s="15" t="s">
        <v>1676</v>
      </c>
      <c r="G19" s="63">
        <v>1404020</v>
      </c>
      <c r="H19" s="18" t="s">
        <v>39</v>
      </c>
      <c r="I19" s="23">
        <v>28850</v>
      </c>
      <c r="J19" s="23">
        <v>28850</v>
      </c>
      <c r="K19" s="23">
        <v>30000</v>
      </c>
      <c r="L19" s="15" t="s">
        <v>43</v>
      </c>
      <c r="M19" s="15" t="s">
        <v>1597</v>
      </c>
      <c r="N19" s="64" t="s">
        <v>1677</v>
      </c>
    </row>
    <row r="20" s="1" customFormat="1" ht="40" customHeight="1" spans="1:14">
      <c r="A20" s="15" t="s">
        <v>516</v>
      </c>
      <c r="B20" s="15">
        <v>18</v>
      </c>
      <c r="C20" s="15" t="str">
        <f>_xlfn.DISPIMG("ID_663EA6CF7ADA4C04BFCE7AC30DCA86B5",1)</f>
        <v>=DISPIMG("ID_663EA6CF7ADA4C04BFCE7AC30DCA86B5",1)</v>
      </c>
      <c r="D20" s="15" t="s">
        <v>1457</v>
      </c>
      <c r="E20" s="15">
        <v>1999264444</v>
      </c>
      <c r="F20" s="15" t="s">
        <v>516</v>
      </c>
      <c r="G20" s="63">
        <v>679445</v>
      </c>
      <c r="H20" s="18">
        <v>670</v>
      </c>
      <c r="I20" s="23">
        <v>10000</v>
      </c>
      <c r="J20" s="23">
        <v>10000</v>
      </c>
      <c r="K20" s="23">
        <v>13000</v>
      </c>
      <c r="L20" s="15" t="s">
        <v>43</v>
      </c>
      <c r="M20" s="15" t="s">
        <v>1597</v>
      </c>
      <c r="N20" s="64" t="s">
        <v>1678</v>
      </c>
    </row>
    <row r="21" s="1" customFormat="1" ht="40" customHeight="1" spans="1:14">
      <c r="A21" s="15" t="s">
        <v>516</v>
      </c>
      <c r="B21" s="15">
        <v>19</v>
      </c>
      <c r="C21" s="15" t="str">
        <f>_xlfn.DISPIMG("ID_F258CD6BFCC5411D95997B2394662D36",1)</f>
        <v>=DISPIMG("ID_F258CD6BFCC5411D95997B2394662D36",1)</v>
      </c>
      <c r="D21" s="15" t="s">
        <v>513</v>
      </c>
      <c r="E21" s="15">
        <v>174655943</v>
      </c>
      <c r="F21" s="15" t="s">
        <v>516</v>
      </c>
      <c r="G21" s="63">
        <v>666268</v>
      </c>
      <c r="H21" s="18">
        <v>122</v>
      </c>
      <c r="I21" s="23">
        <v>4500</v>
      </c>
      <c r="J21" s="23">
        <v>4500</v>
      </c>
      <c r="K21" s="23">
        <v>6000</v>
      </c>
      <c r="L21" s="15" t="s">
        <v>43</v>
      </c>
      <c r="M21" s="15" t="s">
        <v>1601</v>
      </c>
      <c r="N21" s="64" t="s">
        <v>1679</v>
      </c>
    </row>
    <row r="22" s="1" customFormat="1" ht="40" customHeight="1" spans="1:14">
      <c r="A22" s="15" t="s">
        <v>516</v>
      </c>
      <c r="B22" s="15">
        <v>20</v>
      </c>
      <c r="C22" s="15" t="str">
        <f>_xlfn.DISPIMG("ID_11248BC070EE486982BB0B5EC2E9CB12",1)</f>
        <v>=DISPIMG("ID_11248BC070EE486982BB0B5EC2E9CB12",1)</v>
      </c>
      <c r="D22" s="15" t="s">
        <v>1365</v>
      </c>
      <c r="E22" s="15">
        <v>5787752</v>
      </c>
      <c r="F22" s="15" t="s">
        <v>516</v>
      </c>
      <c r="G22" s="63">
        <v>359382</v>
      </c>
      <c r="H22" s="18" t="s">
        <v>39</v>
      </c>
      <c r="I22" s="23">
        <v>10000</v>
      </c>
      <c r="J22" s="23">
        <v>12000</v>
      </c>
      <c r="K22" s="23">
        <v>15000</v>
      </c>
      <c r="L22" s="15" t="s">
        <v>43</v>
      </c>
      <c r="M22" s="15" t="s">
        <v>1597</v>
      </c>
      <c r="N22" s="64" t="s">
        <v>1680</v>
      </c>
    </row>
    <row r="23" s="1" customFormat="1" ht="40" customHeight="1" spans="1:14">
      <c r="A23" s="15" t="s">
        <v>867</v>
      </c>
      <c r="B23" s="15">
        <v>21</v>
      </c>
      <c r="C23" s="15" t="str">
        <f>_xlfn.DISPIMG("ID_2D4F19422DD94E92A557E4477C27D288",1)</f>
        <v>=DISPIMG("ID_2D4F19422DD94E92A557E4477C27D288",1)</v>
      </c>
      <c r="D23" s="15" t="s">
        <v>844</v>
      </c>
      <c r="E23" s="15" t="s">
        <v>1681</v>
      </c>
      <c r="F23" s="15" t="s">
        <v>835</v>
      </c>
      <c r="G23" s="63">
        <v>851428</v>
      </c>
      <c r="H23" s="18" t="s">
        <v>39</v>
      </c>
      <c r="I23" s="23">
        <v>30000</v>
      </c>
      <c r="J23" s="23">
        <v>30000</v>
      </c>
      <c r="K23" s="23">
        <v>30000</v>
      </c>
      <c r="L23" s="15" t="s">
        <v>43</v>
      </c>
      <c r="M23" s="15" t="s">
        <v>1597</v>
      </c>
      <c r="N23" s="64" t="s">
        <v>1682</v>
      </c>
    </row>
    <row r="24" s="1" customFormat="1" ht="40" customHeight="1" spans="1:14">
      <c r="A24" s="15" t="s">
        <v>867</v>
      </c>
      <c r="B24" s="15">
        <v>22</v>
      </c>
      <c r="C24" s="15" t="str">
        <f>_xlfn.DISPIMG("ID_3F1759559AB940A6A95E542A6EDD73B0",1)</f>
        <v>=DISPIMG("ID_3F1759559AB940A6A95E542A6EDD73B0",1)</v>
      </c>
      <c r="D24" s="15" t="s">
        <v>1683</v>
      </c>
      <c r="E24" s="15">
        <v>1461222504</v>
      </c>
      <c r="F24" s="15" t="s">
        <v>619</v>
      </c>
      <c r="G24" s="63">
        <v>646828</v>
      </c>
      <c r="H24" s="18">
        <v>803</v>
      </c>
      <c r="I24" s="23">
        <v>15000</v>
      </c>
      <c r="J24" s="23">
        <v>15000</v>
      </c>
      <c r="K24" s="23">
        <v>20000</v>
      </c>
      <c r="L24" s="15" t="s">
        <v>43</v>
      </c>
      <c r="M24" s="15" t="s">
        <v>1597</v>
      </c>
      <c r="N24" s="64" t="s">
        <v>1684</v>
      </c>
    </row>
    <row r="25" s="1" customFormat="1" ht="40" customHeight="1" spans="1:14">
      <c r="A25" s="15" t="s">
        <v>867</v>
      </c>
      <c r="B25" s="15">
        <v>23</v>
      </c>
      <c r="C25" s="15" t="str">
        <f>_xlfn.DISPIMG("ID_B29E0B8463234924BBB65C6C79031091",1)</f>
        <v>=DISPIMG("ID_B29E0B8463234924BBB65C6C79031091",1)</v>
      </c>
      <c r="D25" s="15" t="s">
        <v>1685</v>
      </c>
      <c r="E25" s="15">
        <v>514366458</v>
      </c>
      <c r="F25" s="15" t="s">
        <v>619</v>
      </c>
      <c r="G25" s="63">
        <v>641187</v>
      </c>
      <c r="H25" s="18" t="s">
        <v>39</v>
      </c>
      <c r="I25" s="23" t="s">
        <v>39</v>
      </c>
      <c r="J25" s="23">
        <v>6000</v>
      </c>
      <c r="K25" s="23" t="s">
        <v>39</v>
      </c>
      <c r="L25" s="15" t="s">
        <v>43</v>
      </c>
      <c r="M25" s="15" t="s">
        <v>1597</v>
      </c>
      <c r="N25" s="64" t="s">
        <v>1686</v>
      </c>
    </row>
    <row r="26" s="1" customFormat="1" ht="40" customHeight="1" spans="1:14">
      <c r="A26" s="15" t="s">
        <v>1687</v>
      </c>
      <c r="B26" s="15">
        <v>24</v>
      </c>
      <c r="C26" s="15" t="str">
        <f>_xlfn.DISPIMG("ID_160376FC8C8D4E8BA2F154BAA03B7139",1)</f>
        <v>=DISPIMG("ID_160376FC8C8D4E8BA2F154BAA03B7139",1)</v>
      </c>
      <c r="D26" s="15" t="s">
        <v>1688</v>
      </c>
      <c r="E26" s="15">
        <v>1971657741</v>
      </c>
      <c r="F26" s="15" t="s">
        <v>417</v>
      </c>
      <c r="G26" s="63">
        <v>196495</v>
      </c>
      <c r="H26" s="18" t="s">
        <v>39</v>
      </c>
      <c r="I26" s="23" t="s">
        <v>39</v>
      </c>
      <c r="J26" s="23">
        <v>6000</v>
      </c>
      <c r="K26" s="23">
        <v>12000</v>
      </c>
      <c r="L26" s="15" t="s">
        <v>413</v>
      </c>
      <c r="M26" s="15" t="s">
        <v>1689</v>
      </c>
      <c r="N26" s="64" t="s">
        <v>1690</v>
      </c>
    </row>
    <row r="27" s="1" customFormat="1" ht="40" customHeight="1" spans="1:14">
      <c r="A27" s="15" t="s">
        <v>1691</v>
      </c>
      <c r="B27" s="15">
        <v>25</v>
      </c>
      <c r="C27" s="15" t="str">
        <f>_xlfn.DISPIMG("ID_F70DEC92B2DB48969925335DDA7128E1",1)</f>
        <v>=DISPIMG("ID_F70DEC92B2DB48969925335DDA7128E1",1)</v>
      </c>
      <c r="D27" s="15" t="s">
        <v>1692</v>
      </c>
      <c r="E27" s="15">
        <v>889526361</v>
      </c>
      <c r="F27" s="15" t="s">
        <v>1693</v>
      </c>
      <c r="G27" s="63">
        <v>2064697</v>
      </c>
      <c r="H27" s="18">
        <v>627</v>
      </c>
      <c r="I27" s="23">
        <v>25000</v>
      </c>
      <c r="J27" s="23">
        <v>25000</v>
      </c>
      <c r="K27" s="23">
        <v>98000</v>
      </c>
      <c r="L27" s="15" t="s">
        <v>843</v>
      </c>
      <c r="M27" s="15" t="s">
        <v>1597</v>
      </c>
      <c r="N27" s="64" t="s">
        <v>1694</v>
      </c>
    </row>
    <row r="28" s="1" customFormat="1" ht="40" customHeight="1" spans="1:14">
      <c r="A28" s="15" t="s">
        <v>1630</v>
      </c>
      <c r="B28" s="15">
        <v>26</v>
      </c>
      <c r="C28" s="15" t="str">
        <f>_xlfn.DISPIMG("ID_BF520B8C00DB4018AAF498954CEEB6E7",1)</f>
        <v>=DISPIMG("ID_BF520B8C00DB4018AAF498954CEEB6E7",1)</v>
      </c>
      <c r="D28" s="15" t="s">
        <v>1695</v>
      </c>
      <c r="E28" s="15">
        <v>535240710</v>
      </c>
      <c r="F28" s="15" t="s">
        <v>717</v>
      </c>
      <c r="G28" s="63">
        <v>449382</v>
      </c>
      <c r="H28" s="18">
        <v>347</v>
      </c>
      <c r="I28" s="23">
        <v>20000</v>
      </c>
      <c r="J28" s="23">
        <v>25000</v>
      </c>
      <c r="K28" s="23">
        <v>29900</v>
      </c>
      <c r="L28" s="15" t="s">
        <v>43</v>
      </c>
      <c r="M28" s="15" t="s">
        <v>1597</v>
      </c>
      <c r="N28" s="64" t="s">
        <v>1696</v>
      </c>
    </row>
    <row r="29" s="1" customFormat="1" ht="40" customHeight="1" spans="1:14">
      <c r="A29" s="28" t="s">
        <v>1630</v>
      </c>
      <c r="B29" s="28">
        <v>27</v>
      </c>
      <c r="C29" s="28" t="str">
        <f>_xlfn.DISPIMG("ID_1E53894226F0447CA4D62FA5B8BA1118",1)</f>
        <v>=DISPIMG("ID_1E53894226F0447CA4D62FA5B8BA1118",1)</v>
      </c>
      <c r="D29" s="28" t="s">
        <v>735</v>
      </c>
      <c r="E29" s="28">
        <v>1901994949</v>
      </c>
      <c r="F29" s="28" t="s">
        <v>717</v>
      </c>
      <c r="G29" s="65">
        <v>59169</v>
      </c>
      <c r="H29" s="32" t="s">
        <v>39</v>
      </c>
      <c r="I29" s="66" t="s">
        <v>39</v>
      </c>
      <c r="J29" s="66">
        <v>8500</v>
      </c>
      <c r="K29" s="66">
        <v>8500</v>
      </c>
      <c r="L29" s="30" t="s">
        <v>1697</v>
      </c>
      <c r="M29" s="28" t="s">
        <v>1601</v>
      </c>
      <c r="N29" s="67" t="s">
        <v>1698</v>
      </c>
    </row>
  </sheetData>
  <autoFilter xmlns:etc="http://www.wps.cn/officeDocument/2017/etCustomData" ref="A2:N29" etc:filterBottomFollowUsedRange="0">
    <extLst/>
  </autoFilter>
  <mergeCells count="1">
    <mergeCell ref="A1:N1"/>
  </mergeCells>
  <hyperlinks>
    <hyperlink ref="N3" r:id="rId2" display="https://live.kuaishou.com/profile/3xi4apqvqnf7g7y" tooltip="https://live.kuaishou.com/profile/3xi4apqvqnf7g7y"/>
    <hyperlink ref="N4" r:id="rId3" display="https://live.kuaishou.com/profile/Handsomeht" tooltip="https://live.kuaishou.com/profile/Handsomeht"/>
    <hyperlink ref="N7" r:id="rId4" display="https://live.kuaishou.com/profile/Roududu1998z" tooltip="https://live.kuaishou.com/profile/Roududu1998z"/>
    <hyperlink ref="N6" r:id="rId5" display="https://live.kuaishou.com/profile/yaner957"/>
    <hyperlink ref="N8" r:id="rId6" display="https://live.kuaishou.com/profile/Dahuangh"/>
    <hyperlink ref="N10" r:id="rId7" display="https://live.kuaishou.com/profile/3xbn4pn987uua5q"/>
    <hyperlink ref="N11" r:id="rId8" display="https://live.kuaishou.com/profile/Jinbo9805"/>
    <hyperlink ref="N12" r:id="rId9" display="https://live.kuaishou.com/profile/xiaodudu20181208"/>
    <hyperlink ref="N23" r:id="rId10" display="https://live.kuaishou.com/profile/xxy1129xy"/>
    <hyperlink ref="N14" r:id="rId11" display="https://live.kuaishou.com/profile/wutangnaicha23"/>
    <hyperlink ref="N15" r:id="rId12" display="https://live.kuaishou.com/profile/zhousanshi0818"/>
    <hyperlink ref="N17" r:id="rId13" display="https://live.kuaishou.com/profile/bigefeixi"/>
    <hyperlink ref="N19" r:id="rId14" display="https://live.kuaishou.com/profile/Xiaxia977"/>
    <hyperlink ref="N20" r:id="rId15" display="https://live.kuaishou.com/profile/yihang112244" tooltip="https://live.kuaishou.com/profile/yihang112244"/>
    <hyperlink ref="N21" r:id="rId16" display="https://live.kuaishou.com/profile/xrr888006"/>
    <hyperlink ref="N5" r:id="rId17" display="https://live.kuaishou.com/profile/3xqsxy7pk7b3rq9"/>
    <hyperlink ref="N24" r:id="rId18" display="https://live.kuaishou.com/profile/A77777774_"/>
    <hyperlink ref="N27" r:id="rId19" display="https://live.kuaishou.com/profile/KK13881688"/>
    <hyperlink ref="N16" r:id="rId20" display="https://live.kuaishou.com/profile/3xjjzysswd2hqqm"/>
    <hyperlink ref="N18" r:id="rId21" display="https://live.kuaishou.com/profile/ygxdwl666"/>
    <hyperlink ref="N26" r:id="rId22" display="https://live.kuaishou.com/profile/Thesmallyear"/>
    <hyperlink ref="N22" r:id="rId23" display="https://v.kuaishou.com/kpTXgm"/>
    <hyperlink ref="N25" r:id="rId24" display="https://v.kuaishou.com/iTF8WX"/>
    <hyperlink ref="N13" r:id="rId25" display="https://live.kuaishou.com/profile/3xt6e7ftwjievc4" tooltip="https://live.kuaishou.com/profile/3xt6e7ftwjievc4"/>
    <hyperlink ref="N28" r:id="rId26" display="https://v.kuaishou.com/KIJDmKoP"/>
    <hyperlink ref="N9" r:id="rId27" display="https://v.kuaishou.com/nuLqSDG3"/>
    <hyperlink ref="N29" r:id="rId28" display="https://v.kuaishou.com/JfESauIY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3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K5" sqref="K5"/>
    </sheetView>
  </sheetViews>
  <sheetFormatPr defaultColWidth="9.81666666666667" defaultRowHeight="14.25"/>
  <cols>
    <col min="1" max="2" width="9" style="34"/>
    <col min="3" max="3" width="19.4583333333333" style="34" customWidth="1"/>
    <col min="4" max="4" width="15.4416666666667" style="34" customWidth="1"/>
    <col min="5" max="6" width="11.9" style="34" customWidth="1"/>
    <col min="7" max="7" width="34.7583333333333" style="35" customWidth="1"/>
    <col min="8" max="9" width="8.625" style="34" customWidth="1"/>
    <col min="10" max="13" width="13.3583333333333" style="34" customWidth="1"/>
    <col min="14" max="16377" width="9" style="34"/>
    <col min="16378" max="16380" width="9.64166666666667" style="34"/>
    <col min="16381" max="16384" width="9.81666666666667" style="34"/>
  </cols>
  <sheetData>
    <row r="1" s="34" customFormat="1" ht="70" customHeight="1" spans="1:13">
      <c r="A1" s="36" t="s">
        <v>1699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30" customHeight="1" spans="1:13">
      <c r="A2" s="37" t="s">
        <v>7</v>
      </c>
      <c r="B2" s="37" t="s">
        <v>9</v>
      </c>
      <c r="C2" s="37" t="s">
        <v>1700</v>
      </c>
      <c r="D2" s="37" t="s">
        <v>1701</v>
      </c>
      <c r="E2" s="37" t="s">
        <v>1329</v>
      </c>
      <c r="F2" s="37" t="s">
        <v>1702</v>
      </c>
      <c r="G2" s="37" t="s">
        <v>1582</v>
      </c>
      <c r="H2" s="37" t="s">
        <v>1331</v>
      </c>
      <c r="I2" s="37" t="s">
        <v>1114</v>
      </c>
      <c r="J2" s="37" t="s">
        <v>1703</v>
      </c>
      <c r="K2" s="37" t="s">
        <v>1704</v>
      </c>
      <c r="L2" s="37" t="s">
        <v>1705</v>
      </c>
      <c r="M2" s="37" t="s">
        <v>1706</v>
      </c>
    </row>
    <row r="3" s="34" customFormat="1" ht="40" customHeight="1" spans="1:13">
      <c r="A3" s="38">
        <v>1</v>
      </c>
      <c r="B3" s="39" t="str">
        <f>_xlfn.DISPIMG("ID_5BA8960DA9DB42B0B6587B58B3D08D39",1)</f>
        <v>=DISPIMG("ID_5BA8960DA9DB42B0B6587B58B3D08D39",1)</v>
      </c>
      <c r="C3" s="40" t="s">
        <v>68</v>
      </c>
      <c r="D3" s="41">
        <v>30139938</v>
      </c>
      <c r="E3" s="42">
        <v>1788874</v>
      </c>
      <c r="F3" s="42">
        <v>14751133</v>
      </c>
      <c r="G3" s="40" t="s">
        <v>1707</v>
      </c>
      <c r="H3" s="38" t="s">
        <v>43</v>
      </c>
      <c r="I3" s="43" t="s">
        <v>1708</v>
      </c>
      <c r="J3" s="38">
        <v>1800000</v>
      </c>
      <c r="K3" s="38" t="s">
        <v>1709</v>
      </c>
      <c r="L3" s="38" t="s">
        <v>39</v>
      </c>
      <c r="M3" s="38" t="s">
        <v>39</v>
      </c>
    </row>
    <row r="4" s="34" customFormat="1" ht="40" customHeight="1" spans="1:13">
      <c r="A4" s="44">
        <v>2</v>
      </c>
      <c r="B4" s="45" t="str">
        <f>_xlfn.DISPIMG("ID_F79D9C42E0B9416AB978B02977D16978",1)</f>
        <v>=DISPIMG("ID_F79D9C42E0B9416AB978B02977D16978",1)</v>
      </c>
      <c r="C4" s="46" t="s">
        <v>1710</v>
      </c>
      <c r="D4" s="47">
        <v>686354330</v>
      </c>
      <c r="E4" s="48">
        <v>903419</v>
      </c>
      <c r="F4" s="48">
        <v>5249762</v>
      </c>
      <c r="G4" s="46" t="s">
        <v>1711</v>
      </c>
      <c r="H4" s="44" t="s">
        <v>43</v>
      </c>
      <c r="I4" s="44" t="s">
        <v>59</v>
      </c>
      <c r="J4" s="44">
        <v>25000</v>
      </c>
      <c r="K4" s="44" t="s">
        <v>39</v>
      </c>
      <c r="L4" s="44" t="s">
        <v>39</v>
      </c>
      <c r="M4" s="44" t="s">
        <v>39</v>
      </c>
    </row>
    <row r="5" s="34" customFormat="1" ht="40" customHeight="1" spans="1:13">
      <c r="A5" s="38">
        <v>3</v>
      </c>
      <c r="B5" s="39" t="str">
        <f>_xlfn.DISPIMG("ID_17F8DAE0FB3944338FDD5DD9E57873C1",1)</f>
        <v>=DISPIMG("ID_17F8DAE0FB3944338FDD5DD9E57873C1",1)</v>
      </c>
      <c r="C5" s="40" t="s">
        <v>1712</v>
      </c>
      <c r="D5" s="41">
        <v>1752056466</v>
      </c>
      <c r="E5" s="42">
        <v>538216</v>
      </c>
      <c r="F5" s="42">
        <v>8924568</v>
      </c>
      <c r="G5" s="40" t="s">
        <v>1713</v>
      </c>
      <c r="H5" s="38" t="s">
        <v>43</v>
      </c>
      <c r="I5" s="43" t="s">
        <v>1708</v>
      </c>
      <c r="J5" s="38">
        <v>200000</v>
      </c>
      <c r="K5" s="38">
        <v>40000</v>
      </c>
      <c r="L5" s="38">
        <v>60000</v>
      </c>
      <c r="M5" s="38">
        <v>30000</v>
      </c>
    </row>
    <row r="6" s="34" customFormat="1" ht="40" customHeight="1" spans="1:13">
      <c r="A6" s="44">
        <v>4</v>
      </c>
      <c r="B6" s="45" t="str">
        <f>_xlfn.DISPIMG("ID_6B4C1FCC817C41339EF9AA4A3AAF6C95",1)</f>
        <v>=DISPIMG("ID_6B4C1FCC817C41339EF9AA4A3AAF6C95",1)</v>
      </c>
      <c r="C6" s="46" t="s">
        <v>1148</v>
      </c>
      <c r="D6" s="47">
        <v>589088589</v>
      </c>
      <c r="E6" s="48">
        <v>667000</v>
      </c>
      <c r="F6" s="48">
        <v>5825000</v>
      </c>
      <c r="G6" s="46" t="s">
        <v>1714</v>
      </c>
      <c r="H6" s="44" t="s">
        <v>413</v>
      </c>
      <c r="I6" s="44" t="s">
        <v>867</v>
      </c>
      <c r="J6" s="44">
        <v>80000</v>
      </c>
      <c r="K6" s="49" t="s">
        <v>1715</v>
      </c>
      <c r="L6" s="44" t="s">
        <v>39</v>
      </c>
      <c r="M6" s="44" t="s">
        <v>39</v>
      </c>
    </row>
    <row r="7" s="34" customFormat="1" ht="40" customHeight="1" spans="1:13">
      <c r="A7" s="38">
        <v>5</v>
      </c>
      <c r="B7" s="39" t="str">
        <f>_xlfn.DISPIMG("ID_F0EE0381F5B1436DAEEE251ADF939B0E",1)</f>
        <v>=DISPIMG("ID_F0EE0381F5B1436DAEEE251ADF939B0E",1)</v>
      </c>
      <c r="C7" s="40" t="s">
        <v>1448</v>
      </c>
      <c r="D7" s="287" t="s">
        <v>1716</v>
      </c>
      <c r="E7" s="42">
        <v>89103</v>
      </c>
      <c r="F7" s="42">
        <v>665992</v>
      </c>
      <c r="G7" s="40" t="s">
        <v>1717</v>
      </c>
      <c r="H7" s="38" t="s">
        <v>43</v>
      </c>
      <c r="I7" s="43" t="s">
        <v>1057</v>
      </c>
      <c r="J7" s="38" t="s">
        <v>39</v>
      </c>
      <c r="K7" s="38" t="s">
        <v>1718</v>
      </c>
      <c r="L7" s="38" t="s">
        <v>39</v>
      </c>
      <c r="M7" s="38" t="s">
        <v>39</v>
      </c>
    </row>
    <row r="8" s="34" customFormat="1" ht="40" customHeight="1" spans="1:13">
      <c r="A8" s="44">
        <v>6</v>
      </c>
      <c r="B8" s="45" t="str">
        <f>_xlfn.DISPIMG("ID_CB3295A1027744EC857B486DC6893A52",1)</f>
        <v>=DISPIMG("ID_CB3295A1027744EC857B486DC6893A52",1)</v>
      </c>
      <c r="C8" s="46" t="s">
        <v>115</v>
      </c>
      <c r="D8" s="47">
        <v>2069267165</v>
      </c>
      <c r="E8" s="48">
        <v>68890</v>
      </c>
      <c r="F8" s="48">
        <v>821047</v>
      </c>
      <c r="G8" s="46" t="s">
        <v>1719</v>
      </c>
      <c r="H8" s="44" t="s">
        <v>43</v>
      </c>
      <c r="I8" s="44" t="s">
        <v>1708</v>
      </c>
      <c r="J8" s="44" t="s">
        <v>39</v>
      </c>
      <c r="K8" s="44" t="s">
        <v>1720</v>
      </c>
      <c r="L8" s="44">
        <v>10000</v>
      </c>
      <c r="M8" s="44">
        <v>6000</v>
      </c>
    </row>
    <row r="9" s="34" customFormat="1" ht="40" customHeight="1" spans="1:13">
      <c r="A9" s="38">
        <v>7</v>
      </c>
      <c r="B9" s="39" t="str">
        <f>_xlfn.DISPIMG("ID_EBCA562BE6304D399B78784BF72C7A46",1)</f>
        <v>=DISPIMG("ID_EBCA562BE6304D399B78784BF72C7A46",1)</v>
      </c>
      <c r="C9" s="40" t="s">
        <v>136</v>
      </c>
      <c r="D9" s="41">
        <v>1171192768</v>
      </c>
      <c r="E9" s="42">
        <v>401199</v>
      </c>
      <c r="F9" s="42">
        <v>7218733</v>
      </c>
      <c r="G9" s="40" t="s">
        <v>1721</v>
      </c>
      <c r="H9" s="38" t="s">
        <v>43</v>
      </c>
      <c r="I9" s="43" t="s">
        <v>1708</v>
      </c>
      <c r="J9" s="38" t="s">
        <v>1722</v>
      </c>
      <c r="K9" s="38" t="s">
        <v>1723</v>
      </c>
      <c r="L9" s="38">
        <v>10000</v>
      </c>
      <c r="M9" s="38">
        <v>6000</v>
      </c>
    </row>
    <row r="10" s="34" customFormat="1" ht="40" customHeight="1" spans="1:13">
      <c r="A10" s="44">
        <v>8</v>
      </c>
      <c r="B10" s="45" t="str">
        <f>_xlfn.DISPIMG("ID_71A68A67E6D94B428053E8A3DDFE409E",1)</f>
        <v>=DISPIMG("ID_71A68A67E6D94B428053E8A3DDFE409E",1)</v>
      </c>
      <c r="C10" s="46" t="s">
        <v>1724</v>
      </c>
      <c r="D10" s="47">
        <v>438538373</v>
      </c>
      <c r="E10" s="48">
        <v>378582</v>
      </c>
      <c r="F10" s="48">
        <v>5283443</v>
      </c>
      <c r="G10" s="46" t="s">
        <v>1725</v>
      </c>
      <c r="H10" s="44" t="s">
        <v>43</v>
      </c>
      <c r="I10" s="44" t="s">
        <v>1651</v>
      </c>
      <c r="J10" s="44">
        <v>40000</v>
      </c>
      <c r="K10" s="44">
        <v>25000</v>
      </c>
      <c r="L10" s="44">
        <v>10000</v>
      </c>
      <c r="M10" s="44" t="s">
        <v>39</v>
      </c>
    </row>
    <row r="11" s="34" customFormat="1" ht="40" customHeight="1" spans="1:13">
      <c r="A11" s="38">
        <v>9</v>
      </c>
      <c r="B11" s="39" t="str">
        <f>_xlfn.DISPIMG("ID_C84293C4FCB849FA9DC9DEC789150165",1)</f>
        <v>=DISPIMG("ID_C84293C4FCB849FA9DC9DEC789150165",1)</v>
      </c>
      <c r="C11" s="40" t="s">
        <v>1726</v>
      </c>
      <c r="D11" s="41">
        <v>1476802359</v>
      </c>
      <c r="E11" s="42">
        <v>18772</v>
      </c>
      <c r="F11" s="42">
        <v>225166</v>
      </c>
      <c r="G11" s="40" t="s">
        <v>1727</v>
      </c>
      <c r="H11" s="38" t="s">
        <v>43</v>
      </c>
      <c r="I11" s="43" t="s">
        <v>1708</v>
      </c>
      <c r="J11" s="38" t="s">
        <v>39</v>
      </c>
      <c r="K11" s="38" t="s">
        <v>1718</v>
      </c>
      <c r="L11" s="38">
        <v>5000</v>
      </c>
      <c r="M11" s="38">
        <v>3000</v>
      </c>
    </row>
    <row r="12" s="34" customFormat="1" ht="40" customHeight="1" spans="1:13">
      <c r="A12" s="44">
        <v>10</v>
      </c>
      <c r="B12" s="45" t="str">
        <f>_xlfn.DISPIMG("ID_372925DD8CB0467B92525FA61EF5FB7D",1)</f>
        <v>=DISPIMG("ID_372925DD8CB0467B92525FA61EF5FB7D",1)</v>
      </c>
      <c r="C12" s="46" t="s">
        <v>1728</v>
      </c>
      <c r="D12" s="47">
        <v>1972786116</v>
      </c>
      <c r="E12" s="48">
        <v>10570</v>
      </c>
      <c r="F12" s="48">
        <v>92059</v>
      </c>
      <c r="G12" s="46" t="s">
        <v>1729</v>
      </c>
      <c r="H12" s="44" t="s">
        <v>43</v>
      </c>
      <c r="I12" s="44" t="s">
        <v>1708</v>
      </c>
      <c r="J12" s="44" t="s">
        <v>39</v>
      </c>
      <c r="K12" s="44" t="s">
        <v>1730</v>
      </c>
      <c r="L12" s="44">
        <v>5000</v>
      </c>
      <c r="M12" s="44">
        <v>3000</v>
      </c>
    </row>
    <row r="13" s="34" customFormat="1" ht="40" customHeight="1" spans="1:13">
      <c r="A13" s="50">
        <v>11</v>
      </c>
      <c r="B13" s="51" t="str">
        <f>_xlfn.DISPIMG("ID_467966D24D254DAFB9025E4824C38221",1)</f>
        <v>=DISPIMG("ID_467966D24D254DAFB9025E4824C38221",1)</v>
      </c>
      <c r="C13" s="52" t="s">
        <v>1731</v>
      </c>
      <c r="D13" s="53">
        <v>1376579261</v>
      </c>
      <c r="E13" s="54">
        <v>42038</v>
      </c>
      <c r="F13" s="54">
        <v>273868</v>
      </c>
      <c r="G13" s="52" t="s">
        <v>1732</v>
      </c>
      <c r="H13" s="50" t="s">
        <v>43</v>
      </c>
      <c r="I13" s="55" t="s">
        <v>1708</v>
      </c>
      <c r="J13" s="50">
        <v>10000</v>
      </c>
      <c r="K13" s="50" t="s">
        <v>1730</v>
      </c>
      <c r="L13" s="50">
        <v>5000</v>
      </c>
      <c r="M13" s="50">
        <v>3000</v>
      </c>
    </row>
  </sheetData>
  <autoFilter xmlns:etc="http://www.wps.cn/officeDocument/2017/etCustomData" ref="A2:M13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8" r:id="rId4" display="https://space.bilibili.com/2069267165?spm_id_from=333.337.0.0" tooltip="https://space.bilibili.com/2069267165?spm_id_from=333.337.0.0"/>
    <hyperlink ref="G9" r:id="rId5" display="https://space.bilibili.com/1171192768?spm_id_from=333.337.0.0" tooltip="https://space.bilibili.com/1171192768?spm_id_from=333.337.0.0"/>
    <hyperlink ref="G11" r:id="rId6" display="https://space.bilibili.com/1476802359?spm_id_from=333.337.0.0" tooltip="https://space.bilibili.com/1476802359?spm_id_from=333.337.0.0"/>
    <hyperlink ref="G12" r:id="rId7" display="https://space.bilibili.com/1972786116?spm_id_from=333.337.0.0" tooltip="https://space.bilibili.com/1972786116?spm_id_from=333.337.0.0"/>
    <hyperlink ref="G4" r:id="rId8" display="https://space.bilibili.com/686354330?spm_id_from=333.337.0.0" tooltip="https://space.bilibili.com/686354330?spm_id_from=333.337.0.0"/>
    <hyperlink ref="G10" r:id="rId9" display="https://space.bilibili.com/438538373?spm_id_from=333.337.0.0"/>
    <hyperlink ref="G13" r:id="rId10" display="https://space.bilibili.com/1376579261?spm_id_from=333.337.0.0"/>
    <hyperlink ref="G7" r:id="rId11" display="https://space.bilibili.com/3494370374322460?spm_id_from=333.337.0.0"/>
    <hyperlink ref="G6" r:id="rId12" display="https://b23.tv/5RDMxVH"/>
  </hyperlinks>
  <pageMargins left="0.75" right="0.75" top="1" bottom="1" header="0.5" footer="0.5"/>
  <pageSetup paperSize="9" orientation="portrait"/>
  <headerFooter/>
  <ignoredErrors>
    <ignoredError sqref="D7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32"/>
  <sheetViews>
    <sheetView workbookViewId="0">
      <pane xSplit="4" ySplit="2" topLeftCell="E8" activePane="bottomRight" state="frozen"/>
      <selection/>
      <selection pane="topRight"/>
      <selection pane="bottomLeft"/>
      <selection pane="bottomRight" activeCell="L5" sqref="L5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25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2" width="9.64166666666667" style="1"/>
    <col min="16383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1116</v>
      </c>
      <c r="F2" s="9" t="s">
        <v>14</v>
      </c>
      <c r="G2" s="10" t="s">
        <v>1733</v>
      </c>
      <c r="H2" s="11" t="s">
        <v>1117</v>
      </c>
      <c r="I2" s="11" t="s">
        <v>18</v>
      </c>
      <c r="J2" s="12" t="s">
        <v>20</v>
      </c>
      <c r="K2" s="12" t="s">
        <v>21</v>
      </c>
      <c r="L2" s="12" t="s">
        <v>22</v>
      </c>
      <c r="M2" s="9" t="s">
        <v>1118</v>
      </c>
      <c r="N2" s="9" t="s">
        <v>30</v>
      </c>
    </row>
    <row r="3" customFormat="1" ht="35" customHeight="1" spans="1:14">
      <c r="A3" s="13">
        <v>1</v>
      </c>
      <c r="B3" s="14" t="str">
        <f>_xlfn.DISPIMG("ID_4E9F617A8651445EA946708BFC1A02BF",1)</f>
        <v>=DISPIMG("ID_4E9F617A8651445EA946708BFC1A02BF",1)</v>
      </c>
      <c r="C3" s="15" t="s">
        <v>1457</v>
      </c>
      <c r="D3" s="16" t="s">
        <v>1734</v>
      </c>
      <c r="E3" s="15" t="s">
        <v>516</v>
      </c>
      <c r="F3" s="15" t="s">
        <v>1735</v>
      </c>
      <c r="G3" s="13" t="s">
        <v>1736</v>
      </c>
      <c r="H3" s="17">
        <v>40.1</v>
      </c>
      <c r="I3" s="18">
        <v>113.1</v>
      </c>
      <c r="J3" s="19">
        <v>60000</v>
      </c>
      <c r="K3" s="19">
        <v>70000</v>
      </c>
      <c r="L3" s="19">
        <v>70000</v>
      </c>
      <c r="M3" s="13" t="s">
        <v>1737</v>
      </c>
      <c r="N3" s="15" t="s">
        <v>43</v>
      </c>
    </row>
    <row r="4" customFormat="1" ht="35" customHeight="1" spans="1:14">
      <c r="A4" s="13">
        <v>2</v>
      </c>
      <c r="B4" s="15" t="str">
        <f>_xlfn.DISPIMG("ID_BCE1C6425E52446DACE7B65FDEC49E0F",1)</f>
        <v>=DISPIMG("ID_BCE1C6425E52446DACE7B65FDEC49E0F",1)</v>
      </c>
      <c r="C4" s="15" t="s">
        <v>1738</v>
      </c>
      <c r="D4" s="16">
        <v>97203305600</v>
      </c>
      <c r="E4" s="15" t="s">
        <v>1151</v>
      </c>
      <c r="F4" s="15" t="s">
        <v>1739</v>
      </c>
      <c r="G4" s="13" t="s">
        <v>1740</v>
      </c>
      <c r="H4" s="17">
        <v>14.9</v>
      </c>
      <c r="I4" s="18" t="s">
        <v>39</v>
      </c>
      <c r="J4" s="19">
        <v>8000</v>
      </c>
      <c r="K4" s="19">
        <v>10000</v>
      </c>
      <c r="L4" s="19">
        <v>12000</v>
      </c>
      <c r="M4" s="13" t="s">
        <v>1741</v>
      </c>
      <c r="N4" s="15" t="s">
        <v>43</v>
      </c>
    </row>
    <row r="5" customFormat="1" ht="35" customHeight="1" spans="1:14">
      <c r="A5" s="13">
        <v>3</v>
      </c>
      <c r="B5" s="20" t="str">
        <f>_xlfn.DISPIMG("ID_C49163FCBB244525971274056E26C429",1)</f>
        <v>=DISPIMG("ID_C49163FCBB244525971274056E26C429",1)</v>
      </c>
      <c r="C5" s="15" t="s">
        <v>1486</v>
      </c>
      <c r="D5" s="21" t="s">
        <v>1742</v>
      </c>
      <c r="E5" s="15" t="s">
        <v>1743</v>
      </c>
      <c r="F5" s="15" t="s">
        <v>1744</v>
      </c>
      <c r="G5" s="13" t="s">
        <v>1745</v>
      </c>
      <c r="H5" s="17">
        <v>621.9</v>
      </c>
      <c r="I5" s="18">
        <v>448.2</v>
      </c>
      <c r="J5" s="19">
        <v>55000</v>
      </c>
      <c r="K5" s="19">
        <v>78000</v>
      </c>
      <c r="L5" s="19">
        <v>98000</v>
      </c>
      <c r="M5" s="13" t="s">
        <v>1746</v>
      </c>
      <c r="N5" s="15" t="s">
        <v>43</v>
      </c>
    </row>
    <row r="6" customFormat="1" ht="35" customHeight="1" spans="1:14">
      <c r="A6" s="15">
        <v>4</v>
      </c>
      <c r="B6" s="20" t="str">
        <f>_xlfn.DISPIMG("ID_8E572C28C332409CBC778FAC9CC485EE",1)</f>
        <v>=DISPIMG("ID_8E572C28C332409CBC778FAC9CC485EE",1)</v>
      </c>
      <c r="C6" s="15" t="s">
        <v>1747</v>
      </c>
      <c r="D6" s="16" t="s">
        <v>1748</v>
      </c>
      <c r="E6" s="15" t="s">
        <v>1749</v>
      </c>
      <c r="F6" s="15" t="s">
        <v>1750</v>
      </c>
      <c r="G6" s="13" t="s">
        <v>1751</v>
      </c>
      <c r="H6" s="17">
        <v>153.9</v>
      </c>
      <c r="I6" s="18">
        <v>672.2</v>
      </c>
      <c r="J6" s="22">
        <v>38000</v>
      </c>
      <c r="K6" s="22">
        <v>38000</v>
      </c>
      <c r="L6" s="22">
        <v>48000</v>
      </c>
      <c r="M6" s="13" t="s">
        <v>1752</v>
      </c>
      <c r="N6" s="15" t="s">
        <v>43</v>
      </c>
    </row>
    <row r="7" customFormat="1" ht="35" customHeight="1" spans="1:14">
      <c r="A7" s="15">
        <v>5</v>
      </c>
      <c r="B7" s="20" t="str">
        <f>_xlfn.DISPIMG("ID_0580F2861D774B8A81FE11D0A7A751A0",1)</f>
        <v>=DISPIMG("ID_0580F2861D774B8A81FE11D0A7A751A0",1)</v>
      </c>
      <c r="C7" s="15" t="s">
        <v>1753</v>
      </c>
      <c r="D7" s="16" t="s">
        <v>1754</v>
      </c>
      <c r="E7" s="15" t="s">
        <v>1755</v>
      </c>
      <c r="F7" s="15" t="s">
        <v>1756</v>
      </c>
      <c r="G7" s="13" t="s">
        <v>1757</v>
      </c>
      <c r="H7" s="17">
        <v>204.9</v>
      </c>
      <c r="I7" s="18">
        <v>51.1</v>
      </c>
      <c r="J7" s="22">
        <v>75000</v>
      </c>
      <c r="K7" s="22">
        <v>108000</v>
      </c>
      <c r="L7" s="22">
        <v>150000</v>
      </c>
      <c r="M7" s="13" t="s">
        <v>1758</v>
      </c>
      <c r="N7" s="15" t="s">
        <v>402</v>
      </c>
    </row>
    <row r="8" customFormat="1" ht="35" customHeight="1" spans="1:14">
      <c r="A8" s="15">
        <v>6</v>
      </c>
      <c r="B8" s="20" t="str">
        <f>_xlfn.DISPIMG("ID_51CC1604D87B4A769D49B1E9D059D9BE",1)</f>
        <v>=DISPIMG("ID_51CC1604D87B4A769D49B1E9D059D9BE",1)</v>
      </c>
      <c r="C8" s="15" t="s">
        <v>1759</v>
      </c>
      <c r="D8" s="16" t="s">
        <v>1760</v>
      </c>
      <c r="E8" s="15" t="s">
        <v>1057</v>
      </c>
      <c r="F8" s="15" t="s">
        <v>1761</v>
      </c>
      <c r="G8" s="13" t="s">
        <v>1762</v>
      </c>
      <c r="H8" s="17">
        <v>1127.2</v>
      </c>
      <c r="I8" s="18">
        <v>246.5</v>
      </c>
      <c r="J8" s="23">
        <v>105000</v>
      </c>
      <c r="K8" s="23">
        <v>120000</v>
      </c>
      <c r="L8" s="23">
        <v>150000</v>
      </c>
      <c r="M8" s="13" t="s">
        <v>1763</v>
      </c>
      <c r="N8" s="15" t="s">
        <v>161</v>
      </c>
    </row>
    <row r="9" customFormat="1" ht="35" customHeight="1" spans="1:14">
      <c r="A9" s="13">
        <v>7</v>
      </c>
      <c r="B9" s="24" t="str">
        <f>_xlfn.DISPIMG("ID_EFDCC538D76946D78B7EB98783933944",1)</f>
        <v>=DISPIMG("ID_EFDCC538D76946D78B7EB98783933944",1)</v>
      </c>
      <c r="C9" s="15" t="s">
        <v>1764</v>
      </c>
      <c r="D9" s="16" t="s">
        <v>1765</v>
      </c>
      <c r="E9" s="15" t="s">
        <v>1057</v>
      </c>
      <c r="F9" s="15" t="s">
        <v>1766</v>
      </c>
      <c r="G9" s="13" t="s">
        <v>1767</v>
      </c>
      <c r="H9" s="17">
        <v>167.1</v>
      </c>
      <c r="I9" s="18">
        <v>451.9</v>
      </c>
      <c r="J9" s="19">
        <v>25000</v>
      </c>
      <c r="K9" s="19">
        <v>28000</v>
      </c>
      <c r="L9" s="19">
        <v>35000</v>
      </c>
      <c r="M9" s="13" t="s">
        <v>1768</v>
      </c>
      <c r="N9" s="15" t="s">
        <v>43</v>
      </c>
    </row>
    <row r="10" customFormat="1" ht="35" customHeight="1" spans="1:14">
      <c r="A10" s="15">
        <v>8</v>
      </c>
      <c r="B10" s="24" t="str">
        <f>_xlfn.DISPIMG("ID_C600F1E9B9CF4B69911956C74DD8409F",1)</f>
        <v>=DISPIMG("ID_C600F1E9B9CF4B69911956C74DD8409F",1)</v>
      </c>
      <c r="C10" s="15" t="s">
        <v>1769</v>
      </c>
      <c r="D10" s="21" t="s">
        <v>1770</v>
      </c>
      <c r="E10" s="15" t="s">
        <v>1057</v>
      </c>
      <c r="F10" s="15" t="s">
        <v>1771</v>
      </c>
      <c r="G10" s="13" t="s">
        <v>1772</v>
      </c>
      <c r="H10" s="17">
        <v>103.5</v>
      </c>
      <c r="I10" s="18">
        <v>35.9</v>
      </c>
      <c r="J10" s="22">
        <v>8000</v>
      </c>
      <c r="K10" s="22">
        <v>10000</v>
      </c>
      <c r="L10" s="22">
        <v>13000</v>
      </c>
      <c r="M10" s="13" t="s">
        <v>1773</v>
      </c>
      <c r="N10" s="15" t="s">
        <v>43</v>
      </c>
    </row>
    <row r="11" customFormat="1" ht="35" customHeight="1" spans="1:14">
      <c r="A11" s="13">
        <v>9</v>
      </c>
      <c r="B11" t="str">
        <f>_xlfn.DISPIMG("ID_1972622F78944F3B80240176D8C71F27",1)</f>
        <v>=DISPIMG("ID_1972622F78944F3B80240176D8C71F27",1)</v>
      </c>
      <c r="C11" s="15" t="s">
        <v>1626</v>
      </c>
      <c r="D11" s="16">
        <v>66548904980</v>
      </c>
      <c r="E11" s="15" t="s">
        <v>321</v>
      </c>
      <c r="F11" s="15" t="s">
        <v>1774</v>
      </c>
      <c r="G11" s="13" t="s">
        <v>1775</v>
      </c>
      <c r="H11" s="17">
        <v>36.6</v>
      </c>
      <c r="I11" s="18" t="s">
        <v>39</v>
      </c>
      <c r="J11" s="19">
        <v>13000</v>
      </c>
      <c r="K11" s="19">
        <v>17000</v>
      </c>
      <c r="L11" s="19">
        <v>22000</v>
      </c>
      <c r="M11" s="13" t="s">
        <v>39</v>
      </c>
      <c r="N11" s="15" t="s">
        <v>886</v>
      </c>
    </row>
    <row r="12" customFormat="1" ht="35" customHeight="1" spans="1:14">
      <c r="A12" s="13">
        <v>10</v>
      </c>
      <c r="B12" s="20" t="str">
        <f>_xlfn.DISPIMG("ID_239842D3F75A4FE68730B55C4EC3A2AF",1)</f>
        <v>=DISPIMG("ID_239842D3F75A4FE68730B55C4EC3A2AF",1)</v>
      </c>
      <c r="C12" s="15" t="s">
        <v>1776</v>
      </c>
      <c r="D12" s="16" t="s">
        <v>1777</v>
      </c>
      <c r="E12" s="17" t="s">
        <v>289</v>
      </c>
      <c r="F12" s="15" t="s">
        <v>1778</v>
      </c>
      <c r="G12" s="13" t="s">
        <v>1779</v>
      </c>
      <c r="H12" s="17">
        <v>35</v>
      </c>
      <c r="I12" s="18">
        <v>615.6</v>
      </c>
      <c r="J12" s="19">
        <v>15000</v>
      </c>
      <c r="K12" s="19">
        <v>15000</v>
      </c>
      <c r="L12" s="19">
        <v>32000</v>
      </c>
      <c r="M12" s="13" t="s">
        <v>1780</v>
      </c>
      <c r="N12" s="15" t="s">
        <v>43</v>
      </c>
    </row>
    <row r="13" customFormat="1" ht="35" customHeight="1" spans="1:14">
      <c r="A13" s="15">
        <v>11</v>
      </c>
      <c r="B13" s="20" t="str">
        <f>_xlfn.DISPIMG("ID_61797551686346DC9014A66E142A21ED",1)</f>
        <v>=DISPIMG("ID_61797551686346DC9014A66E142A21ED",1)</v>
      </c>
      <c r="C13" s="15" t="s">
        <v>1781</v>
      </c>
      <c r="D13" s="16">
        <v>24900362122</v>
      </c>
      <c r="E13" s="15" t="s">
        <v>1782</v>
      </c>
      <c r="F13" s="15" t="s">
        <v>1783</v>
      </c>
      <c r="G13" s="13" t="s">
        <v>1784</v>
      </c>
      <c r="H13" s="17">
        <v>57.4</v>
      </c>
      <c r="I13" s="18">
        <v>226.5</v>
      </c>
      <c r="J13" s="22">
        <v>8200</v>
      </c>
      <c r="K13" s="22">
        <v>11000</v>
      </c>
      <c r="L13" s="22">
        <v>15000</v>
      </c>
      <c r="M13" s="13" t="s">
        <v>1785</v>
      </c>
      <c r="N13" s="15" t="s">
        <v>575</v>
      </c>
    </row>
    <row r="14" customFormat="1" ht="35" customHeight="1" spans="1:14">
      <c r="A14" s="13">
        <v>12</v>
      </c>
      <c r="B14" s="20" t="str">
        <f>_xlfn.DISPIMG("ID_0F56D0A8EA4C4786AD6FCABB58AB23E6",1)</f>
        <v>=DISPIMG("ID_0F56D0A8EA4C4786AD6FCABB58AB23E6",1)</v>
      </c>
      <c r="C14" s="15" t="s">
        <v>1786</v>
      </c>
      <c r="D14" s="16" t="s">
        <v>1787</v>
      </c>
      <c r="E14" s="25" t="s">
        <v>750</v>
      </c>
      <c r="F14" s="15" t="s">
        <v>1788</v>
      </c>
      <c r="G14" s="13" t="s">
        <v>1789</v>
      </c>
      <c r="H14" s="17">
        <v>699.1</v>
      </c>
      <c r="I14" s="18">
        <v>24.5</v>
      </c>
      <c r="J14" s="26">
        <v>70000</v>
      </c>
      <c r="K14" s="26">
        <v>90000</v>
      </c>
      <c r="L14" s="26">
        <v>95000</v>
      </c>
      <c r="M14" s="13" t="s">
        <v>1790</v>
      </c>
      <c r="N14" s="15" t="s">
        <v>43</v>
      </c>
    </row>
    <row r="15" customFormat="1" ht="35" customHeight="1" spans="1:14">
      <c r="A15" s="13">
        <v>13</v>
      </c>
      <c r="B15" s="20" t="str">
        <f>_xlfn.DISPIMG("ID_2031D1DA6A704E79BB7A156D3A8FFDD8",1)</f>
        <v>=DISPIMG("ID_2031D1DA6A704E79BB7A156D3A8FFDD8",1)</v>
      </c>
      <c r="C15" s="15" t="s">
        <v>1514</v>
      </c>
      <c r="D15" s="16" t="s">
        <v>1791</v>
      </c>
      <c r="E15" s="25" t="s">
        <v>82</v>
      </c>
      <c r="F15" s="15" t="s">
        <v>1792</v>
      </c>
      <c r="G15" s="13" t="s">
        <v>1793</v>
      </c>
      <c r="H15" s="17">
        <v>382.4</v>
      </c>
      <c r="I15" s="18">
        <v>183.3</v>
      </c>
      <c r="J15" s="19">
        <v>48000</v>
      </c>
      <c r="K15" s="19">
        <v>48000</v>
      </c>
      <c r="L15" s="19">
        <v>68000</v>
      </c>
      <c r="M15" s="13" t="s">
        <v>1794</v>
      </c>
      <c r="N15" s="15" t="s">
        <v>43</v>
      </c>
    </row>
    <row r="16" customFormat="1" ht="35" customHeight="1" spans="1:14">
      <c r="A16" s="13">
        <v>14</v>
      </c>
      <c r="B16" s="20" t="str">
        <f>_xlfn.DISPIMG("ID_5FDE35B0268C46BCB70D6DA4A875921A",1)</f>
        <v>=DISPIMG("ID_5FDE35B0268C46BCB70D6DA4A875921A",1)</v>
      </c>
      <c r="C16" s="15" t="s">
        <v>1795</v>
      </c>
      <c r="D16" s="16" t="s">
        <v>1796</v>
      </c>
      <c r="E16" s="15" t="s">
        <v>59</v>
      </c>
      <c r="F16" s="15" t="s">
        <v>1797</v>
      </c>
      <c r="G16" s="13" t="s">
        <v>1798</v>
      </c>
      <c r="H16" s="17">
        <v>131.2</v>
      </c>
      <c r="I16" s="18">
        <v>91.4</v>
      </c>
      <c r="J16" s="19">
        <v>20000</v>
      </c>
      <c r="K16" s="19">
        <v>30000</v>
      </c>
      <c r="L16" s="19">
        <v>30000</v>
      </c>
      <c r="M16" s="13" t="s">
        <v>39</v>
      </c>
      <c r="N16" s="15" t="s">
        <v>43</v>
      </c>
    </row>
    <row r="17" customFormat="1" ht="35" customHeight="1" spans="1:14">
      <c r="A17" s="13">
        <v>15</v>
      </c>
      <c r="B17" s="20" t="str">
        <f>_xlfn.DISPIMG("ID_67690179DE0B42EAAD4DB5DA4B5A0F4F",1)</f>
        <v>=DISPIMG("ID_67690179DE0B42EAAD4DB5DA4B5A0F4F",1)</v>
      </c>
      <c r="C17" s="15" t="s">
        <v>1799</v>
      </c>
      <c r="D17" s="21" t="s">
        <v>1800</v>
      </c>
      <c r="E17" s="15" t="s">
        <v>59</v>
      </c>
      <c r="F17" s="15" t="s">
        <v>1801</v>
      </c>
      <c r="G17" s="13" t="s">
        <v>1802</v>
      </c>
      <c r="H17" s="17">
        <v>89.6</v>
      </c>
      <c r="I17" s="18">
        <v>232</v>
      </c>
      <c r="J17" s="19">
        <v>25000</v>
      </c>
      <c r="K17" s="19">
        <v>35000</v>
      </c>
      <c r="L17" s="19">
        <v>45000</v>
      </c>
      <c r="M17" s="13" t="s">
        <v>1803</v>
      </c>
      <c r="N17" s="15" t="s">
        <v>43</v>
      </c>
    </row>
    <row r="18" s="1" customFormat="1" ht="35" customHeight="1" spans="1:14">
      <c r="A18" s="13">
        <v>16</v>
      </c>
      <c r="B18" s="20" t="str">
        <f>_xlfn.DISPIMG("ID_811F6202021D4B43A8DEB03B8172AF1D",1)</f>
        <v>=DISPIMG("ID_811F6202021D4B43A8DEB03B8172AF1D",1)</v>
      </c>
      <c r="C18" s="21" t="s">
        <v>1804</v>
      </c>
      <c r="D18" s="16" t="s">
        <v>1805</v>
      </c>
      <c r="E18" s="15" t="s">
        <v>1806</v>
      </c>
      <c r="F18" s="15" t="s">
        <v>1807</v>
      </c>
      <c r="G18" s="13" t="s">
        <v>1808</v>
      </c>
      <c r="H18" s="17">
        <v>18.6</v>
      </c>
      <c r="I18" s="18">
        <v>652.1</v>
      </c>
      <c r="J18" s="19">
        <v>5000</v>
      </c>
      <c r="K18" s="19">
        <v>5000</v>
      </c>
      <c r="L18" s="19">
        <v>5700</v>
      </c>
      <c r="M18" s="19" t="s">
        <v>39</v>
      </c>
      <c r="N18" s="15" t="s">
        <v>43</v>
      </c>
    </row>
    <row r="19" customFormat="1" ht="35" customHeight="1" spans="1:14">
      <c r="A19" s="13">
        <v>17</v>
      </c>
      <c r="B19" s="20" t="str">
        <f>_xlfn.DISPIMG("ID_996902304CC646A3B6EBBBFF8B73BD30",1)</f>
        <v>=DISPIMG("ID_996902304CC646A3B6EBBBFF8B73BD30",1)</v>
      </c>
      <c r="C19" s="15" t="s">
        <v>1809</v>
      </c>
      <c r="D19" s="16" t="s">
        <v>1810</v>
      </c>
      <c r="E19" s="15" t="s">
        <v>516</v>
      </c>
      <c r="F19" s="15" t="s">
        <v>1811</v>
      </c>
      <c r="G19" s="13" t="s">
        <v>1812</v>
      </c>
      <c r="H19" s="17">
        <v>730</v>
      </c>
      <c r="I19" s="18">
        <v>74</v>
      </c>
      <c r="J19" s="19">
        <v>78000</v>
      </c>
      <c r="K19" s="19">
        <v>105000</v>
      </c>
      <c r="L19" s="19">
        <v>110000</v>
      </c>
      <c r="M19" s="13" t="s">
        <v>1813</v>
      </c>
      <c r="N19" s="15" t="s">
        <v>43</v>
      </c>
    </row>
    <row r="20" customFormat="1" ht="35" customHeight="1" spans="1:14">
      <c r="A20" s="13">
        <v>18</v>
      </c>
      <c r="B20" s="20" t="str">
        <f>_xlfn.DISPIMG("ID_9C9A0000A3A344BA99368A2B3BC10434",1)</f>
        <v>=DISPIMG("ID_9C9A0000A3A344BA99368A2B3BC10434",1)</v>
      </c>
      <c r="C20" s="15" t="s">
        <v>1814</v>
      </c>
      <c r="D20" s="16" t="s">
        <v>1815</v>
      </c>
      <c r="E20" s="15" t="s">
        <v>516</v>
      </c>
      <c r="F20" s="15" t="s">
        <v>1816</v>
      </c>
      <c r="G20" s="13" t="s">
        <v>1817</v>
      </c>
      <c r="H20" s="17">
        <v>178.7</v>
      </c>
      <c r="I20" s="18" t="s">
        <v>39</v>
      </c>
      <c r="J20" s="19">
        <v>28000</v>
      </c>
      <c r="K20" s="19">
        <v>38000</v>
      </c>
      <c r="L20" s="19">
        <v>45000</v>
      </c>
      <c r="M20" s="13" t="s">
        <v>1818</v>
      </c>
      <c r="N20" s="15" t="s">
        <v>1819</v>
      </c>
    </row>
    <row r="21" s="1" customFormat="1" ht="35" customHeight="1" spans="1:14">
      <c r="A21" s="13">
        <v>19</v>
      </c>
      <c r="B21" s="14" t="str">
        <f>_xlfn.DISPIMG("ID_CD46B8401C7948BCBF2D9AF24FC3DD04",1)</f>
        <v>=DISPIMG("ID_CD46B8401C7948BCBF2D9AF24FC3DD04",1)</v>
      </c>
      <c r="C21" s="21" t="s">
        <v>1820</v>
      </c>
      <c r="D21" s="13" t="s">
        <v>1821</v>
      </c>
      <c r="E21" s="13" t="s">
        <v>1206</v>
      </c>
      <c r="F21" s="13" t="s">
        <v>1822</v>
      </c>
      <c r="G21" s="13" t="s">
        <v>1823</v>
      </c>
      <c r="H21" s="17">
        <v>348</v>
      </c>
      <c r="I21" s="27">
        <v>116.6</v>
      </c>
      <c r="J21" s="26">
        <v>40000</v>
      </c>
      <c r="K21" s="26">
        <v>40000</v>
      </c>
      <c r="L21" s="26">
        <v>50000</v>
      </c>
      <c r="M21" s="13" t="s">
        <v>1824</v>
      </c>
      <c r="N21" s="13" t="s">
        <v>43</v>
      </c>
    </row>
    <row r="22" s="3" customFormat="1" ht="35" customHeight="1" spans="1:14">
      <c r="A22" s="13">
        <v>20</v>
      </c>
      <c r="B22" s="24" t="str">
        <f>_xlfn.DISPIMG("ID_04E62AD2D4DF4BA68792ADF0AF257511",1)</f>
        <v>=DISPIMG("ID_04E62AD2D4DF4BA68792ADF0AF257511",1)</v>
      </c>
      <c r="C22" s="21" t="s">
        <v>1825</v>
      </c>
      <c r="D22" s="13" t="s">
        <v>1826</v>
      </c>
      <c r="E22" s="13" t="s">
        <v>1827</v>
      </c>
      <c r="F22" s="13" t="s">
        <v>1828</v>
      </c>
      <c r="G22" s="13" t="s">
        <v>1829</v>
      </c>
      <c r="H22" s="17">
        <v>52.5</v>
      </c>
      <c r="I22" s="27">
        <v>133.7</v>
      </c>
      <c r="J22" s="22">
        <v>8000</v>
      </c>
      <c r="K22" s="22">
        <v>10000</v>
      </c>
      <c r="L22" s="22">
        <v>13000</v>
      </c>
      <c r="M22" s="13" t="s">
        <v>1830</v>
      </c>
      <c r="N22" s="13" t="s">
        <v>43</v>
      </c>
    </row>
    <row r="23" customFormat="1" ht="35" customHeight="1" spans="1:14">
      <c r="A23" s="13">
        <v>21</v>
      </c>
      <c r="B23" s="20" t="str">
        <f>_xlfn.DISPIMG("ID_A3F44AC569AB446BA8AB93D7247E5A6B",1)</f>
        <v>=DISPIMG("ID_A3F44AC569AB446BA8AB93D7247E5A6B",1)</v>
      </c>
      <c r="C23" s="15" t="s">
        <v>1831</v>
      </c>
      <c r="D23" s="16">
        <v>8372328</v>
      </c>
      <c r="E23" s="15" t="s">
        <v>516</v>
      </c>
      <c r="F23" s="15" t="s">
        <v>1832</v>
      </c>
      <c r="G23" s="13" t="s">
        <v>1833</v>
      </c>
      <c r="H23" s="17">
        <v>194.4</v>
      </c>
      <c r="I23" s="18" t="s">
        <v>39</v>
      </c>
      <c r="J23" s="19">
        <v>15000</v>
      </c>
      <c r="K23" s="19">
        <v>20000</v>
      </c>
      <c r="L23" s="19">
        <v>28000</v>
      </c>
      <c r="M23" s="13" t="s">
        <v>1834</v>
      </c>
      <c r="N23" s="15" t="s">
        <v>43</v>
      </c>
    </row>
    <row r="24" customFormat="1" ht="35" customHeight="1" spans="1:14">
      <c r="A24" s="13">
        <v>22</v>
      </c>
      <c r="B24" s="20" t="str">
        <f>_xlfn.DISPIMG("ID_3BA253F562B54339B4A9619792A8864F",1)</f>
        <v>=DISPIMG("ID_3BA253F562B54339B4A9619792A8864F",1)</v>
      </c>
      <c r="C24" s="15" t="s">
        <v>1835</v>
      </c>
      <c r="D24" s="21">
        <v>6944639</v>
      </c>
      <c r="E24" s="15" t="s">
        <v>516</v>
      </c>
      <c r="F24" s="15" t="s">
        <v>1836</v>
      </c>
      <c r="G24" s="13" t="s">
        <v>1837</v>
      </c>
      <c r="H24" s="17">
        <v>66.2</v>
      </c>
      <c r="I24" s="18">
        <v>579.4</v>
      </c>
      <c r="J24" s="22">
        <v>13000</v>
      </c>
      <c r="K24" s="22">
        <v>17000</v>
      </c>
      <c r="L24" s="22">
        <v>30000</v>
      </c>
      <c r="M24" s="13" t="s">
        <v>1838</v>
      </c>
      <c r="N24" s="15" t="s">
        <v>413</v>
      </c>
    </row>
    <row r="25" customFormat="1" ht="35" customHeight="1" spans="1:14">
      <c r="A25" s="13">
        <v>23</v>
      </c>
      <c r="B25" s="20" t="str">
        <f>_xlfn.DISPIMG("ID_944A52349608496F82FAF7AF11D27DA3",1)</f>
        <v>=DISPIMG("ID_944A52349608496F82FAF7AF11D27DA3",1)</v>
      </c>
      <c r="C25" s="15" t="s">
        <v>1839</v>
      </c>
      <c r="D25" s="16" t="s">
        <v>1840</v>
      </c>
      <c r="E25" s="15" t="s">
        <v>516</v>
      </c>
      <c r="F25" s="15" t="s">
        <v>1841</v>
      </c>
      <c r="G25" s="13" t="s">
        <v>1842</v>
      </c>
      <c r="H25" s="17">
        <v>271.9</v>
      </c>
      <c r="I25" s="18">
        <v>193.7</v>
      </c>
      <c r="J25" s="19">
        <v>25000</v>
      </c>
      <c r="K25" s="19">
        <v>30000</v>
      </c>
      <c r="L25" s="19">
        <v>40000</v>
      </c>
      <c r="M25" s="13" t="s">
        <v>1843</v>
      </c>
      <c r="N25" s="15" t="s">
        <v>43</v>
      </c>
    </row>
    <row r="26" s="1" customFormat="1" ht="35" customHeight="1" spans="1:14">
      <c r="A26" s="13">
        <v>24</v>
      </c>
      <c r="B26" s="24" t="str">
        <f>_xlfn.DISPIMG("ID_A33162E98C7344E4B5D585C2C8DF7F2D",1)</f>
        <v>=DISPIMG("ID_A33162E98C7344E4B5D585C2C8DF7F2D",1)</v>
      </c>
      <c r="C26" s="21" t="s">
        <v>1844</v>
      </c>
      <c r="D26" s="13" t="s">
        <v>1845</v>
      </c>
      <c r="E26" s="13" t="s">
        <v>516</v>
      </c>
      <c r="F26" s="13" t="s">
        <v>1846</v>
      </c>
      <c r="G26" s="13" t="s">
        <v>1847</v>
      </c>
      <c r="H26" s="17">
        <v>113.5</v>
      </c>
      <c r="I26" s="27">
        <v>584.7</v>
      </c>
      <c r="J26" s="26">
        <v>15000</v>
      </c>
      <c r="K26" s="26">
        <v>20000</v>
      </c>
      <c r="L26" s="26">
        <v>35000</v>
      </c>
      <c r="M26" s="13" t="s">
        <v>1848</v>
      </c>
      <c r="N26" s="13" t="s">
        <v>43</v>
      </c>
    </row>
    <row r="27" s="1" customFormat="1" ht="35" customHeight="1" spans="1:14">
      <c r="A27" s="13">
        <v>25</v>
      </c>
      <c r="B27" s="24" t="str">
        <f>_xlfn.DISPIMG("ID_9E1E2148C84A47D99C534F3F58224D8C",1)</f>
        <v>=DISPIMG("ID_9E1E2148C84A47D99C534F3F58224D8C",1)</v>
      </c>
      <c r="C27" s="21" t="s">
        <v>1849</v>
      </c>
      <c r="D27" s="13" t="s">
        <v>1850</v>
      </c>
      <c r="E27" s="13" t="s">
        <v>516</v>
      </c>
      <c r="F27" s="13" t="s">
        <v>1851</v>
      </c>
      <c r="G27" s="13" t="s">
        <v>1852</v>
      </c>
      <c r="H27" s="17">
        <v>19.1</v>
      </c>
      <c r="I27" s="27" t="s">
        <v>39</v>
      </c>
      <c r="J27" s="26">
        <v>25000</v>
      </c>
      <c r="K27" s="26">
        <v>35000</v>
      </c>
      <c r="L27" s="26">
        <v>50000</v>
      </c>
      <c r="M27" s="13" t="s">
        <v>39</v>
      </c>
      <c r="N27" s="13" t="s">
        <v>43</v>
      </c>
    </row>
    <row r="28" customFormat="1" ht="35" customHeight="1" spans="1:14">
      <c r="A28" s="13">
        <v>26</v>
      </c>
      <c r="B28" s="20" t="str">
        <f>_xlfn.DISPIMG("ID_D9FB7FDC3CA64F10A2691A5E85966BA3",1)</f>
        <v>=DISPIMG("ID_D9FB7FDC3CA64F10A2691A5E85966BA3",1)</v>
      </c>
      <c r="C28" s="15" t="s">
        <v>1853</v>
      </c>
      <c r="D28" s="16">
        <v>342906081</v>
      </c>
      <c r="E28" s="15" t="s">
        <v>516</v>
      </c>
      <c r="F28" s="15" t="s">
        <v>1854</v>
      </c>
      <c r="G28" s="13" t="s">
        <v>1855</v>
      </c>
      <c r="H28" s="17">
        <v>63.3</v>
      </c>
      <c r="I28" s="18">
        <v>492.2</v>
      </c>
      <c r="J28" s="19">
        <v>12000</v>
      </c>
      <c r="K28" s="19">
        <v>12000</v>
      </c>
      <c r="L28" s="19">
        <v>15600</v>
      </c>
      <c r="M28" s="13" t="s">
        <v>1856</v>
      </c>
      <c r="N28" s="15" t="s">
        <v>43</v>
      </c>
    </row>
    <row r="29" customFormat="1" ht="35" customHeight="1" spans="1:14">
      <c r="A29" s="15">
        <v>27</v>
      </c>
      <c r="B29" s="20" t="str">
        <f>_xlfn.DISPIMG("ID_AE0D326C3431465AB31A17963D0A4333",1)</f>
        <v>=DISPIMG("ID_AE0D326C3431465AB31A17963D0A4333",1)</v>
      </c>
      <c r="C29" s="13" t="s">
        <v>1857</v>
      </c>
      <c r="D29" s="16">
        <v>96201603048</v>
      </c>
      <c r="E29" s="15" t="s">
        <v>1858</v>
      </c>
      <c r="F29" s="15" t="s">
        <v>1859</v>
      </c>
      <c r="G29" s="13" t="s">
        <v>1860</v>
      </c>
      <c r="H29" s="13">
        <v>28.7</v>
      </c>
      <c r="I29" s="18">
        <v>193.1</v>
      </c>
      <c r="J29" s="22">
        <v>6500</v>
      </c>
      <c r="K29" s="22">
        <v>7500</v>
      </c>
      <c r="L29" s="22">
        <v>8000</v>
      </c>
      <c r="M29" s="13" t="s">
        <v>39</v>
      </c>
      <c r="N29" s="15" t="s">
        <v>43</v>
      </c>
    </row>
    <row r="30" customFormat="1" ht="35" customHeight="1" spans="1:14">
      <c r="A30" s="15">
        <v>28</v>
      </c>
      <c r="B30" s="20" t="str">
        <f>_xlfn.DISPIMG("ID_BC10D53D01AB439C8C91A8495437B0BD",1)</f>
        <v>=DISPIMG("ID_BC10D53D01AB439C8C91A8495437B0BD",1)</v>
      </c>
      <c r="C30" s="13" t="s">
        <v>1861</v>
      </c>
      <c r="D30" s="16" t="s">
        <v>1862</v>
      </c>
      <c r="E30" s="15" t="s">
        <v>1863</v>
      </c>
      <c r="F30" s="15" t="s">
        <v>1864</v>
      </c>
      <c r="G30" s="13" t="s">
        <v>1865</v>
      </c>
      <c r="H30" s="13">
        <v>27.7</v>
      </c>
      <c r="I30" s="18" t="s">
        <v>39</v>
      </c>
      <c r="J30" s="22">
        <v>12000</v>
      </c>
      <c r="K30" s="22">
        <v>12000</v>
      </c>
      <c r="L30" s="22">
        <v>15000</v>
      </c>
      <c r="M30" s="13" t="s">
        <v>39</v>
      </c>
      <c r="N30" s="15" t="s">
        <v>1866</v>
      </c>
    </row>
    <row r="31" customFormat="1" ht="35" customHeight="1" spans="1:14">
      <c r="A31" s="15">
        <v>29</v>
      </c>
      <c r="B31" s="14" t="str">
        <f>_xlfn.DISPIMG("ID_E3BD1E96CA0D4B378BED86B334AF6563",1)</f>
        <v>=DISPIMG("ID_E3BD1E96CA0D4B378BED86B334AF6563",1)</v>
      </c>
      <c r="C31" s="13" t="s">
        <v>1867</v>
      </c>
      <c r="D31" s="16" t="s">
        <v>1868</v>
      </c>
      <c r="E31" s="15" t="s">
        <v>1598</v>
      </c>
      <c r="F31" s="15" t="s">
        <v>1869</v>
      </c>
      <c r="G31" s="13" t="s">
        <v>1870</v>
      </c>
      <c r="H31" s="13">
        <v>11.3</v>
      </c>
      <c r="I31" s="18" t="s">
        <v>39</v>
      </c>
      <c r="J31" s="22">
        <v>2000</v>
      </c>
      <c r="K31" s="22">
        <v>3000</v>
      </c>
      <c r="L31" s="22">
        <v>5000</v>
      </c>
      <c r="M31" s="13" t="s">
        <v>39</v>
      </c>
      <c r="N31" s="15" t="s">
        <v>43</v>
      </c>
    </row>
    <row r="32" customFormat="1" ht="35" customHeight="1" spans="1:14">
      <c r="A32" s="28">
        <v>30</v>
      </c>
      <c r="B32" s="29" t="str">
        <f>_xlfn.DISPIMG("ID_5CD421089FC443FC94858D5BE6B5A6DF",1)</f>
        <v>=DISPIMG("ID_5CD421089FC443FC94858D5BE6B5A6DF",1)</v>
      </c>
      <c r="C32" s="30" t="s">
        <v>1871</v>
      </c>
      <c r="D32" s="31">
        <v>1537298468</v>
      </c>
      <c r="E32" s="28" t="s">
        <v>1872</v>
      </c>
      <c r="F32" s="28" t="s">
        <v>1873</v>
      </c>
      <c r="G32" s="30" t="s">
        <v>1874</v>
      </c>
      <c r="H32" s="30">
        <v>30.5</v>
      </c>
      <c r="I32" s="32">
        <v>867.1</v>
      </c>
      <c r="J32" s="33">
        <v>8000</v>
      </c>
      <c r="K32" s="33">
        <v>10000</v>
      </c>
      <c r="L32" s="33">
        <v>12000</v>
      </c>
      <c r="M32" s="30" t="s">
        <v>39</v>
      </c>
      <c r="N32" s="28" t="s">
        <v>43</v>
      </c>
    </row>
  </sheetData>
  <autoFilter xmlns:etc="http://www.wps.cn/officeDocument/2017/etCustomData" ref="A2:XEV32" etc:filterBottomFollowUsedRange="0">
    <extLst/>
  </autoFilter>
  <mergeCells count="1">
    <mergeCell ref="A1:N1"/>
  </mergeCells>
  <hyperlinks>
    <hyperlink ref="F14" r:id="rId2" display="https://v.douyin.com/88tpRCb/"/>
    <hyperlink ref="F19" r:id="rId3" display="https://v.douyin.com/eaRJPHe/"/>
    <hyperlink ref="F25" r:id="rId4" display="https://v.douyin.com/e18x2s1/"/>
    <hyperlink ref="F9" r:id="rId5" display="https://v.douyin.com/e1dopKv/"/>
    <hyperlink ref="F12" r:id="rId6" display="https://v.douyin.com/e1dnU3C/"/>
    <hyperlink ref="F5" r:id="rId7" display="https://v.douyin.com/jcNSUkH/"/>
    <hyperlink ref="F10" r:id="rId8" display="https://v.douyin.com/2W7nbwM/"/>
    <hyperlink ref="F6" r:id="rId9" display="https://v.douyin.com/rfgepnY/"/>
    <hyperlink ref="F23" r:id="rId10" display="https://v.douyin.com/A4Wbyjf/"/>
    <hyperlink ref="F8" r:id="rId11" display="https://v.douyin.com/yNkevye/"/>
    <hyperlink ref="F13" r:id="rId12" display="https://v.douyin.com/yFCq9y3/"/>
    <hyperlink ref="F24" r:id="rId13" display="https://v.douyin.com/DDtQneX/"/>
    <hyperlink ref="F28" r:id="rId14" display="https://v.douyin.com/eNCkcEU/"/>
    <hyperlink ref="F17" r:id="rId15" display="https://v.douyin.com/i8aCMmDk/"/>
    <hyperlink ref="F15" r:id="rId16" display="https://v.douyin.com/nthyDT/"/>
    <hyperlink ref="F11" r:id="rId17" display="https://v.douyin.com/i2nY4afF/"/>
    <hyperlink ref="F30" r:id="rId18" display="https://v.douyin.com/FswYnjx/"/>
    <hyperlink ref="F32" r:id="rId19" display="https://v.douyin.com/iJW1TXLv/"/>
    <hyperlink ref="F31" r:id="rId20" display="https://v.douyin.com/idjuYaHy/"/>
    <hyperlink ref="F29" r:id="rId21" display="https://v.douyin.com/i8cKAwaa/ 8@0.com"/>
    <hyperlink ref="F18" r:id="rId22" display="https://v.douyin.com/vP3VmxRgiLI/"/>
    <hyperlink ref="F16" r:id="rId23" display="https://v.douyin.com/M3spsCWS4Tc/"/>
    <hyperlink ref="F26" r:id="rId24" display="https://v.douyin.com/hqXeQ5d/"/>
    <hyperlink ref="F22" r:id="rId25" display="https://v.douyin.com/iY85wBRt/"/>
    <hyperlink ref="F27" r:id="rId26" display="https://v.douyin.com/C2FPaiMOprM/" tooltip="https://v.douyin.com/C2FPaiMOprM/"/>
    <hyperlink ref="F21" r:id="rId27" display="https://v.douyin.com/JSacLxr/"/>
    <hyperlink ref="F4" r:id="rId28" display="https://v.douyin.com/mQXUpIr3xO0/"/>
    <hyperlink ref="G4" r:id="rId29" display="https://www.xingtu.cn/ad/creator/author-homepage/douyin-video/7076403130594033678?market_track_id=P8TI4U0ZI419EIVFDDYY&amp;search_session_id=7550213941088731178&amp;possessStarId"/>
    <hyperlink ref="G5" r:id="rId30" display="https://www.xingtu.cn/ad/creator/author-homepage/douyin-video/6596677802471194632?market_track_id=7K3P848J94AIY0B8HVXG&amp;search_session_id=7550214716455993398&amp;possessStarId"/>
    <hyperlink ref="G6" r:id="rId31" display="https://www.xingtu.cn/ad/creator/author-homepage/douyin-video/7128380987993489438?market_track_id=3XWNK7LWA21OEENNFR80&amp;search_session_id=7550214870017998891&amp;possessStarId"/>
    <hyperlink ref="G8" r:id="rId32" display="https://www.xingtu.cn/ad/creator/author-homepage/douyin-video/6596679498022780936?market_track_id=OT328YAVVPOJZEPAV52J&amp;search_session_id=7550215036942712851&amp;possessStarId"/>
    <hyperlink ref="G9" r:id="rId33" display="https://www.xingtu.cn/ad/creator/author-homepage/douyin-video/6801043323701166093?market_track_id=WRWTEVNZUU1314FZAKXZ&amp;search_session_id=7550215047575666724&amp;possessStarId"/>
    <hyperlink ref="G10" r:id="rId34" display="https://www.xingtu.cn/ad/creator/author-homepage/douyin-video/7118636721230577700?market_track_id=3VV5ZBKXKBMKIPIX3IZH&amp;search_session_id=7550215159429333031&amp;possessStarId"/>
    <hyperlink ref="G11" r:id="rId35" display="https://www.xingtu.cn/ad/creator/author-homepage/douyin-video/7300476344071110693?market_track_id=715DEKOOY6EFZPKN3OS6&amp;search_session_id=7550216179446022183&amp;possessStarId"/>
    <hyperlink ref="G12" r:id="rId36" display="https://www.xingtu.cn/ad/creator/author-homepage/douyin-video/6810311904263667719?market_track_id=26ZQGJM6ARET41LHTQMT&amp;search_session_id=7550216389245009961&amp;possessStarId"/>
    <hyperlink ref="G13" r:id="rId37" display="https://www.xingtu.cn/ad/creator/author-homepage/douyin-video/7055186462358110239?market_track_id=0S6MHXHBLH5VC2WLNDJ2&amp;search_session_id=7550217075030540327&amp;possessStarId"/>
    <hyperlink ref="G14" r:id="rId38" display="https://www.xingtu.cn/ad/creator/author-homepage/douyin-video/6871549993585475587?market_track_id=RH48477MKB1VR1UNYGCS&amp;search_session_id=7550217075030884391&amp;possessStarId"/>
    <hyperlink ref="G15" r:id="rId39" display="https://www.xingtu.cn/ad/creator/author-homepage/douyin-video/6760484915038388231?market_track_id=D2I814U0YF0H0S78V4NX&amp;search_session_id=7550217255607664679&amp;possessStarId"/>
    <hyperlink ref="G16" r:id="rId40" display="https://www.xingtu.cn/ad/creator/author-homepage/douyin-video/6615821710526513155?market_track_id=J9CDG8ZG8UK9OYQGJ5M5&amp;search_session_id=7550217578959552566&amp;possessStarId"/>
    <hyperlink ref="G17" r:id="rId41" display="https://www.xingtu.cn/ad/creator/author-homepage/douyin-video/6870161239037706253?market_track_id=KGDOIV1C637VKVSO8BCI&amp;search_session_id=7550218122440671274&amp;possessStarId"/>
    <hyperlink ref="G18" r:id="rId42" display="https://www.xingtu.cn/ad/creator/author-homepage/douyin-video/6939042595356016652?market_track_id=RLBNH1FQESPB8C52YN6Q&amp;search_session_id=7550218385226334251&amp;possessStarId"/>
    <hyperlink ref="G19" r:id="rId43" display="https://www.xingtu.cn/ad/creator/author-homepage/douyin-video/6640252091245789188?market_track_id=JNL5RRSOVC13VRKRVW2N&amp;search_session_id=7550218554697433107&amp;possessStarId"/>
    <hyperlink ref="G21" r:id="rId44" display="https://www.xingtu.cn/ad/creator/author-homepage/douyin-video/6629723424748994564?market_track_id=YXGB38SFJ1L77C44WCD0&amp;search_session_id=7550218778458472511&amp;possessStarId"/>
    <hyperlink ref="G22" r:id="rId45" display="https://www.xingtu.cn/ad/creator/author-homepage/douyin-video/7237162630903758881?market_track_id=K0JCD31RB8NPRC5GRY4H&amp;search_session_id=7550218956808880170&amp;possessStarId"/>
    <hyperlink ref="G23" r:id="rId46" display="https://www.xingtu.cn/ad/creator/author-homepage/douyin-video/6596679478083059716?market_track_id=YRGBT4HZY5V5CK4RMLOT&amp;search_session_id=7550219100434202643&amp;possessStarId"/>
    <hyperlink ref="G24" r:id="rId47" display="https://www.xingtu.cn/ad/creator/author-homepage/douyin-video/6629661007348236302?market_track_id=FFE8SV4SP2U10W5XYRKU&amp;search_session_id=7550219239991345195&amp;possessStarId"/>
    <hyperlink ref="G25" r:id="rId48" display="https://www.xingtu.cn/ad/creator/author-homepage/douyin-video/6677157331165249539?market_track_id=TC09IWAFYQRVSS5KRSSL&amp;search_session_id=7550219394329231403&amp;possessStarId"/>
    <hyperlink ref="G26" r:id="rId49" display="https://www.xingtu.cn/ad/creator/author-homepage/douyin-video/6742066222692565006?market_track_id=FZADQ8CXP9WR64C04VUF&amp;search_session_id=7550219814963724307&amp;possessStarId"/>
    <hyperlink ref="G27" r:id="rId50" display="https://www.xingtu.cn/ad/creator/author-homepage/douyin-video/7001886618818707491?market_track_id=PA8P24MD9ZNXK2NVY5FY&amp;search_session_id=7550219864423481387&amp;possessStarId"/>
    <hyperlink ref="G28" r:id="rId51" display="https://www.xingtu.cn/ad/creator/author-homepage/douyin-video/6870164604043919367?market_track_id=KCUK9D94UPOOJ5HYMO6W&amp;search_session_id=7550219973672501291&amp;possessStarId"/>
    <hyperlink ref="G29" r:id="rId52" display="https://www.xingtu.cn/ad/creator/author-homepage/douyin-video/7281638336735739943?market_track_id=8GK099J7N7JPB8RYHF8U&amp;search_session_id=7550220054031089703&amp;possessStarId"/>
    <hyperlink ref="G30" r:id="rId53" display="https://www.xingtu.cn/ad/creator/author-homepage/douyin-video/7062567598881243151?market_track_id=JH9AXT9UZ5CVRQUTBKEH&amp;search_session_id=7550220484609982506&amp;possessStarId"/>
    <hyperlink ref="G31" r:id="rId54" display="https://www.xingtu.cn/ad/creator/author-homepage/douyin-video/7283823086028193803?market_track_id=2LT707YXXASNCHJM9C3E&amp;search_session_id=7550220625697620010&amp;possessStarId"/>
    <hyperlink ref="G32" r:id="rId55" display="https://www.xingtu.cn/ad/creator/author-homepage/douyin-video/7270472015461482554?market_track_id=YRQZCKGS6C6XRPVJ5T7Y&amp;search_session_id=7550220784732897316&amp;possessStarId"/>
    <hyperlink ref="F20" r:id="rId56" display="https://v.douyin.com/BbNG319/"/>
    <hyperlink ref="G20" r:id="rId57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7" r:id="rId58" display="https://v.douyin.com/UYCTfS6/"/>
    <hyperlink ref="G7" r:id="rId59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3" r:id="rId60" display="https://v.douyin.com/NYLLwJm/"/>
    <hyperlink ref="G3" r:id="rId61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懂车帝</vt:lpstr>
      <vt:lpstr>视频号</vt:lpstr>
      <vt:lpstr>快手</vt:lpstr>
      <vt:lpstr>B站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2025-12-01T05:30:25Z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79FA67868E4C4C03B15F466F8265DC63_13</vt:lpwstr>
  </property>
  <property fmtid="{D5CDD505-2E9C-101B-9397-08002B2CF9AE}" pid="4" name="KSOReadingLayout">
    <vt:bool>true</vt:bool>
  </property>
</Properties>
</file>