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media/image100.webp" ContentType="image/webp"/>
  <Override PartName="/xl/media/image101.webp" ContentType="image/webp"/>
  <Override PartName="/xl/media/image102.webp" ContentType="image/webp"/>
  <Override PartName="/xl/media/image103.webp" ContentType="image/webp"/>
  <Override PartName="/xl/media/image105.webp" ContentType="image/webp"/>
  <Override PartName="/xl/media/image106.webp" ContentType="image/webp"/>
  <Override PartName="/xl/media/image107.webp" ContentType="image/webp"/>
  <Override PartName="/xl/media/image108.webp" ContentType="image/webp"/>
  <Override PartName="/xl/media/image183.webp" ContentType="image/webp"/>
  <Override PartName="/xl/media/image192.webp" ContentType="image/webp"/>
  <Override PartName="/xl/media/image194.webp" ContentType="image/webp"/>
  <Override PartName="/xl/media/image198.webp" ContentType="image/webp"/>
  <Override PartName="/xl/media/image200.webp" ContentType="image/webp"/>
  <Override PartName="/xl/media/image221.webp" ContentType="image/webp"/>
  <Override PartName="/xl/media/image222.webp" ContentType="image/webp"/>
  <Override PartName="/xl/media/image225.webp" ContentType="image/webp"/>
  <Override PartName="/xl/media/image229.webp" ContentType="image/webp"/>
  <Override PartName="/xl/media/image230.webp" ContentType="image/webp"/>
  <Override PartName="/xl/media/image231.webp" ContentType="image/webp"/>
  <Override PartName="/xl/media/image255.webp" ContentType="image/webp"/>
  <Override PartName="/xl/media/image80.webp" ContentType="image/webp"/>
  <Override PartName="/xl/media/image81.webp" ContentType="image/webp"/>
  <Override PartName="/xl/media/image82.webp" ContentType="image/webp"/>
  <Override PartName="/xl/media/image83.webp" ContentType="image/webp"/>
  <Override PartName="/xl/media/image84.webp" ContentType="image/webp"/>
  <Override PartName="/xl/media/image85.webp" ContentType="image/webp"/>
  <Override PartName="/xl/media/image86.webp" ContentType="image/webp"/>
  <Override PartName="/xl/media/image87.webp" ContentType="image/webp"/>
  <Override PartName="/xl/media/image88.webp" ContentType="image/webp"/>
  <Override PartName="/xl/media/image89.webp" ContentType="image/webp"/>
  <Override PartName="/xl/media/image90.webp" ContentType="image/webp"/>
  <Override PartName="/xl/media/image91.webp" ContentType="image/webp"/>
  <Override PartName="/xl/media/image92.webp" ContentType="image/webp"/>
  <Override PartName="/xl/media/image93.webp" ContentType="image/webp"/>
  <Override PartName="/xl/media/image94.webp" ContentType="image/webp"/>
  <Override PartName="/xl/media/image95.webp" ContentType="image/webp"/>
  <Override PartName="/xl/media/image96.webp" ContentType="image/webp"/>
  <Override PartName="/xl/media/image97.webp" ContentType="image/webp"/>
  <Override PartName="/xl/media/image98.webp" ContentType="image/webp"/>
  <Override PartName="/xl/media/image99.webp" ContentType="image/webp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首页" sheetId="10" r:id="rId1"/>
    <sheet name="抖音自孵达人" sheetId="1" r:id="rId2"/>
    <sheet name="抖音外签达人" sheetId="2" r:id="rId3"/>
    <sheet name="小红书" sheetId="5" r:id="rId4"/>
    <sheet name="视频号" sheetId="8" r:id="rId5"/>
    <sheet name="快手" sheetId="4" r:id="rId6"/>
    <sheet name="B站" sheetId="6" r:id="rId7"/>
    <sheet name="懂车帝" sheetId="11" r:id="rId8"/>
    <sheet name="抖音独家达人 " sheetId="12" r:id="rId9"/>
  </sheets>
  <definedNames>
    <definedName name="_xlnm._FilterDatabase" localSheetId="1" hidden="1">抖音自孵达人!$A$2:$AC$122</definedName>
    <definedName name="_xlnm._FilterDatabase" localSheetId="2" hidden="1">抖音外签达人!$A$2:$O$26</definedName>
    <definedName name="_xlnm._FilterDatabase" localSheetId="3" hidden="1">小红书!$A$2:$O$59</definedName>
    <definedName name="_xlnm._FilterDatabase" localSheetId="4" hidden="1">视频号!$A$2:$I$24</definedName>
    <definedName name="_xlnm._FilterDatabase" localSheetId="5" hidden="1">快手!$A$2:$N$30</definedName>
    <definedName name="_xlnm._FilterDatabase" localSheetId="6" hidden="1">B站!$A$2:$M$12</definedName>
    <definedName name="_xlnm._FilterDatabase" localSheetId="7" hidden="1">懂车帝!$A$2:$H$7</definedName>
    <definedName name="_xlnm._FilterDatabase" localSheetId="8" hidden="1">'抖音独家达人 '!$A$2:$XEV$31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8" name="ID_AE0FADB7180045B4A3DFEFA8B30AE612" descr="清妍-头像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770" y="6481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7" name="ID_1DD451BE884443BD89AF331DE5850639" descr="缁村Ξ鍎緿ance馃懀澶村儚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53770" y="6417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6" name="ID_1E3496E9C6C14248A4AB0CED55EB7B22" descr="四九头像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953770" y="6354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3" name="ID_BFD3B791873840F7A6BD274172DDF735" descr="寮犲ソ濂界埍鍚冮奔馃惉澶村儚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953770" y="6163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2" name="ID_D8999301ECE74ADC88F016B6B888ED40" descr="鹿儿er头像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953770" y="610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1" name="ID_AB48B69CFF0E4D1489CF29B96309937F" descr="多加点DuoDian头像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953770" y="6036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7" name="ID_1854D7164B524CD2A6F27AFCD5B8ADB0" descr="小程不是小陈也不是小成头像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3770" y="5751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5" name="ID_830D7BF9822C4C5DA11066C440555B66" descr="二同哥哥头像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953770" y="562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4" name="ID_AE9EE02D9381402A8221747B347CE141" descr="小林綠头像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953770" y="556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3" name="ID_7E536C157BFD4F9ABED710D9123262B6" descr="彦儿日常头像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953770" y="549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7" name="ID_4667BC96DDF2491FBB744EB49DCB619C" descr="管家小葛头像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53770" y="5116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5" name="ID_297283D20B12454EBBC647E91C93E809" descr="棚棚朱古力头像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953770" y="4989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4" name="ID_6DDB3F0B8C864F73A8C54F8BBC2991AA" descr="北方姑娘（糖糖）头像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953770" y="4925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2" name="ID_20EB524645A64250A82E41D66BAD8E4C" descr="谢潇羽x头像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953770" y="4766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8" name="ID_B04708EBD51D47E89C0F5A8CA1C42320" descr="赛罗的宝贝头像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953770" y="4576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6" name="ID_0DCD5B3AA2464438B079367360238EC8" descr="晨晓义头像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953770" y="4449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3" name="ID_3F1759559AB940A6A95E542A6EDD73B0" descr="三千企鹅头像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953770" y="4385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6" name="ID_AD67692D60824374B3128ACC0AAAE321" descr="一个幽灵头像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953770" y="429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5" name="ID_854255A79A754EAEB34FAE071AA75CD8" descr="一根藤上五朵花头像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953770" y="422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2" name="ID_D3746F5F0C434E6C947859C6AE53CE2A" descr="九九我啊-头像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953770" y="4036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0" name="ID_DC126CE61D9344459D5C67F122FC46EE" descr="侯博_头像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953770" y="3909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9" name="ID_2A909E8A25084C82BBCCB7755957DE7A" descr="我是小程同学头像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953770" y="3846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8" name="ID_96F902CF6DC9447CA83C0F706D1423F1" descr="张若好头像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953770" y="3750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6" name="ID_918CC43491354479B68FB81A3D0E4BA3" descr="张什什头像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953770" y="3623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5" name="ID_04B9406E73AD45868CFDE025F1A67C64" descr="金陵奇怪的烧饼头像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953770" y="356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5" name="ID_E612ACA65138477AA6E959FC6871AA0D" descr="妍甄sama头像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953770" y="3465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4" name="ID_A412230D60AB468488551983E18F68BC" descr="小蒋同学头像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953770" y="3401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1" name="ID_F02F4A17A7024B73921EEC930E05E90D" descr="敢敢头像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953770" y="3274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0" name="ID_C5E246FCA791438196769AD06E435DBF" descr="木 木头像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53770" y="3211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9" name="ID_9C9A0000A3A344BA99368A2B3BC10434" descr="一个美少鹿头像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953770" y="3147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8" name="ID_2FF67B11DFB0425692DB0B5545CE743A" descr="小四四🍒头像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953770" y="308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" name="ID_0580F2861D774B8A81FE11D0A7A751A0" descr="韦康vico头像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953770" y="226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" name="ID_8B1A5379A37A4735923A64D5881D8A37" descr="朱铁雄头像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953770" y="1626235"/>
          <a:ext cx="552450" cy="56007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" name="ID_B5EF5E77D86345B7A9A6A02B63F067DE" descr="西瓜奇幻工厂头像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953770" y="290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" name="ID_BF25C8DEAD444832BC4991F24EC25453" descr="阿财没饭吃头像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953770" y="35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" name="ID_F2465015B1084BD0916D0D4A3FB710D5" descr="彦儿头像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953770" y="41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" name="ID_539BCED200DC418DA80390830AE35518" descr="加菲菡z头像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953770" y="48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" name="ID_1BC942DF6B584A02B1D768100B32EF70" descr="无糖奶茶头像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953770" y="54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" name="ID_318740AF549F4708BB02E02E05CFE37C" descr="周三拾头像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953770" y="607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" name="ID_CFC7EBDA34574183B86BA9DB2E6A9DEE" descr="大黄h头像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953770" y="671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" name="ID_EEC77C4673CE40A2AA11F908ADC8ABA3" descr="婵婵说头像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953770" y="734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" name="ID_FEA892292C9F41DC88FCF6A565C5188F" descr="胖嘟嘟的嘟嘟头像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953770" y="798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" name="ID_D54C7699201241D3AFE0050FF29CC82A" descr="靖雅欧巴头像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953770" y="861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" name="ID_13688EB241364A2B81A7EC2777D4A67C" descr="李二狗头像"/>
        <xdr:cNvPicPr>
          <a:picLocks noChangeAspect="1"/>
        </xdr:cNvPicPr>
      </xdr:nvPicPr>
      <xdr:blipFill>
        <a:blip r:embed="rId45" r:link="rId2"/>
        <a:stretch>
          <a:fillRect/>
        </a:stretch>
      </xdr:blipFill>
      <xdr:spPr>
        <a:xfrm>
          <a:off x="953770" y="102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" name="ID_25CF9ED5D08F4EC3B8261E1D3DA75E6B" descr="极速马力Part头像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953770" y="1083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" name="ID_4BB75004A5214030A47B0EC4A3C051CB" descr="丁啊叮头像"/>
        <xdr:cNvPicPr>
          <a:picLocks noChangeAspect="1"/>
        </xdr:cNvPicPr>
      </xdr:nvPicPr>
      <xdr:blipFill>
        <a:blip r:embed="rId47" r:link="rId2"/>
        <a:stretch>
          <a:fillRect/>
        </a:stretch>
      </xdr:blipFill>
      <xdr:spPr>
        <a:xfrm>
          <a:off x="953770" y="1274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2" name="ID_1AD7FD21BEB54C18981E40DA34D8D2E3" descr="皮卡白的日常头像"/>
        <xdr:cNvPicPr>
          <a:picLocks noChangeAspect="1"/>
        </xdr:cNvPicPr>
      </xdr:nvPicPr>
      <xdr:blipFill>
        <a:blip r:embed="rId48" r:link="rId2"/>
        <a:stretch>
          <a:fillRect/>
        </a:stretch>
      </xdr:blipFill>
      <xdr:spPr>
        <a:xfrm>
          <a:off x="953770" y="1464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" name="ID_2C935C190FE24B4C8D67824FAA1EEA29" descr="超不可爱小朋友头像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953770" y="1560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" name="ID_7542F921225141E8913F0A8FFA70BFFC" descr="泽陽.头像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953770" y="162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6" name="ID_3AEE1533498C42C682BDD6B9C65794AD" descr="Cn 脸扁头像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953770" y="168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8" name="ID_A72D91D1F8AA4E5DB1D578D1F96213F5" descr="小年Nian（导演，演员，coser版）头像"/>
        <xdr:cNvPicPr>
          <a:picLocks noChangeAspect="1"/>
        </xdr:cNvPicPr>
      </xdr:nvPicPr>
      <xdr:blipFill>
        <a:blip r:embed="rId52" r:link="rId2"/>
        <a:stretch>
          <a:fillRect/>
        </a:stretch>
      </xdr:blipFill>
      <xdr:spPr>
        <a:xfrm>
          <a:off x="953770" y="181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9" name="ID_58CB13A978C944FEAE326BEF7E8454C2" descr="聪仔头像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953770" y="1909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0" name="ID_8BCE00600B2C4CC8B5E75810E8F2F99B" descr="连蜜.头像"/>
        <xdr:cNvPicPr>
          <a:picLocks noChangeAspect="1"/>
        </xdr:cNvPicPr>
      </xdr:nvPicPr>
      <xdr:blipFill>
        <a:blip r:embed="rId54" r:link="rId2"/>
        <a:stretch>
          <a:fillRect/>
        </a:stretch>
      </xdr:blipFill>
      <xdr:spPr>
        <a:xfrm>
          <a:off x="953770" y="1972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3" name="ID_5C96A558D2814A1081C1D1C7C29F22F8" descr="比格费西头像"/>
        <xdr:cNvPicPr>
          <a:picLocks noChangeAspect="1"/>
        </xdr:cNvPicPr>
      </xdr:nvPicPr>
      <xdr:blipFill>
        <a:blip r:embed="rId55" r:link="rId2"/>
        <a:stretch>
          <a:fillRect/>
        </a:stretch>
      </xdr:blipFill>
      <xdr:spPr>
        <a:xfrm>
          <a:off x="953770" y="2163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7" name="ID_DE278334E28B49CCB87A3206F1ECC926" descr="雪蕊呀！头像"/>
        <xdr:cNvPicPr>
          <a:picLocks noChangeAspect="1"/>
        </xdr:cNvPicPr>
      </xdr:nvPicPr>
      <xdr:blipFill>
        <a:blip r:embed="rId56" r:link="rId2"/>
        <a:stretch>
          <a:fillRect/>
        </a:stretch>
      </xdr:blipFill>
      <xdr:spPr>
        <a:xfrm>
          <a:off x="953770" y="2322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4" name="ID_84E09DBA04F449429C52A0F8BBF9511A" descr="王情水头像"/>
        <xdr:cNvPicPr>
          <a:picLocks noChangeAspect="1"/>
        </xdr:cNvPicPr>
      </xdr:nvPicPr>
      <xdr:blipFill>
        <a:blip r:embed="rId57" r:link="rId2"/>
        <a:stretch>
          <a:fillRect/>
        </a:stretch>
      </xdr:blipFill>
      <xdr:spPr>
        <a:xfrm>
          <a:off x="953770" y="2385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4" name="ID_983AF3551FD142A28B6EF5D37FE90C59" descr="豚豚SAMA头像"/>
        <xdr:cNvPicPr>
          <a:picLocks noChangeAspect="1"/>
        </xdr:cNvPicPr>
      </xdr:nvPicPr>
      <xdr:blipFill>
        <a:blip r:embed="rId58" r:link="rId2"/>
        <a:stretch>
          <a:fillRect/>
        </a:stretch>
      </xdr:blipFill>
      <xdr:spPr>
        <a:xfrm>
          <a:off x="953770" y="2449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8" name="ID_ACC5A9162EF34D1C82966AE35BC5288E" descr="梦轩头像"/>
        <xdr:cNvPicPr>
          <a:picLocks noChangeAspect="1"/>
        </xdr:cNvPicPr>
      </xdr:nvPicPr>
      <xdr:blipFill>
        <a:blip r:embed="rId59" r:link="rId2"/>
        <a:stretch>
          <a:fillRect/>
        </a:stretch>
      </xdr:blipFill>
      <xdr:spPr>
        <a:xfrm>
          <a:off x="953770" y="2576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9" name="ID_5A2303BEB2E64EB79F2228CF37EA448D" descr="是腿腿耶头像"/>
        <xdr:cNvPicPr>
          <a:picLocks noChangeAspect="1"/>
        </xdr:cNvPicPr>
      </xdr:nvPicPr>
      <xdr:blipFill>
        <a:blip r:embed="rId60" r:link="rId2"/>
        <a:stretch>
          <a:fillRect/>
        </a:stretch>
      </xdr:blipFill>
      <xdr:spPr>
        <a:xfrm>
          <a:off x="953770" y="2639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0" name="ID_A06A04E18C8443698F5C8FFB59C2D25A" descr="保琳球有点胖头像"/>
        <xdr:cNvPicPr>
          <a:picLocks noChangeAspect="1"/>
        </xdr:cNvPicPr>
      </xdr:nvPicPr>
      <xdr:blipFill>
        <a:blip r:embed="rId61" r:link="rId2"/>
        <a:stretch>
          <a:fillRect/>
        </a:stretch>
      </xdr:blipFill>
      <xdr:spPr>
        <a:xfrm>
          <a:off x="953770" y="2703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9" name="ID_EFC9750CF8E540E9B6079702B9F810EA" descr="北鼻小天头像"/>
        <xdr:cNvPicPr>
          <a:picLocks noChangeAspect="1"/>
        </xdr:cNvPicPr>
      </xdr:nvPicPr>
      <xdr:blipFill>
        <a:blip r:embed="rId62" r:link="rId2"/>
        <a:stretch>
          <a:fillRect/>
        </a:stretch>
      </xdr:blipFill>
      <xdr:spPr>
        <a:xfrm>
          <a:off x="953770" y="289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7" name="ID_792E1E57CCA94F6DA3311C7643148082" descr="莫得感情的小葛头像"/>
        <xdr:cNvPicPr>
          <a:picLocks noChangeAspect="1"/>
        </xdr:cNvPicPr>
      </xdr:nvPicPr>
      <xdr:blipFill>
        <a:blip r:embed="rId63" r:link="rId2"/>
        <a:stretch>
          <a:fillRect/>
        </a:stretch>
      </xdr:blipFill>
      <xdr:spPr>
        <a:xfrm>
          <a:off x="953770" y="302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1" name="ID_D42E536C5EDA4EDD8A56237D9040927D" descr="小电电🌻头像"/>
        <xdr:cNvPicPr>
          <a:picLocks noChangeAspect="1"/>
        </xdr:cNvPicPr>
      </xdr:nvPicPr>
      <xdr:blipFill>
        <a:blip r:embed="rId64" r:link="rId2"/>
        <a:stretch>
          <a:fillRect/>
        </a:stretch>
      </xdr:blipFill>
      <xdr:spPr>
        <a:xfrm>
          <a:off x="1220470" y="17545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5" name="ID_4390B0010FEE44C9B5A3D6C8B9DE9FC1" descr="瑞尔.头像"/>
        <xdr:cNvPicPr>
          <a:picLocks noChangeAspect="1"/>
        </xdr:cNvPicPr>
      </xdr:nvPicPr>
      <xdr:blipFill>
        <a:blip r:embed="rId65" r:link="rId2"/>
        <a:stretch>
          <a:fillRect/>
        </a:stretch>
      </xdr:blipFill>
      <xdr:spPr>
        <a:xfrm>
          <a:off x="1220470" y="1449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3" name="ID_951FD68B9AF343ADBDA89E3CD33BBC08" descr="骐柒柒科技测评头像"/>
        <xdr:cNvPicPr>
          <a:picLocks noChangeAspect="1"/>
        </xdr:cNvPicPr>
      </xdr:nvPicPr>
      <xdr:blipFill>
        <a:blip r:embed="rId66" r:link="rId2"/>
        <a:stretch>
          <a:fillRect/>
        </a:stretch>
      </xdr:blipFill>
      <xdr:spPr>
        <a:xfrm>
          <a:off x="1220470" y="1348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2" name="ID_761495A2F924407682D5AF1846219854" descr="老贺的科技头像"/>
        <xdr:cNvPicPr>
          <a:picLocks noChangeAspect="1"/>
        </xdr:cNvPicPr>
      </xdr:nvPicPr>
      <xdr:blipFill>
        <a:blip r:embed="rId67" r:link="rId2"/>
        <a:stretch>
          <a:fillRect/>
        </a:stretch>
      </xdr:blipFill>
      <xdr:spPr>
        <a:xfrm>
          <a:off x="1220470" y="1297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0" name="ID_AA2D2A5BCE8645FFB273E13C73B42B7C" descr="Bigger研究所头像"/>
        <xdr:cNvPicPr>
          <a:picLocks noChangeAspect="1"/>
        </xdr:cNvPicPr>
      </xdr:nvPicPr>
      <xdr:blipFill>
        <a:blip r:embed="rId68" r:link="rId2"/>
        <a:stretch>
          <a:fillRect/>
        </a:stretch>
      </xdr:blipFill>
      <xdr:spPr>
        <a:xfrm>
          <a:off x="1220470" y="1195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9" name="ID_1B3B087BDDEB46D0B42DC1E122EFFB85" descr="青山坤头像"/>
        <xdr:cNvPicPr>
          <a:picLocks noChangeAspect="1"/>
        </xdr:cNvPicPr>
      </xdr:nvPicPr>
      <xdr:blipFill>
        <a:blip r:embed="rId69" r:link="rId2"/>
        <a:stretch>
          <a:fillRect/>
        </a:stretch>
      </xdr:blipFill>
      <xdr:spPr>
        <a:xfrm>
          <a:off x="1220470" y="1144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8" name="ID_9E9EC13F78C54133AB32AE14184AA937" descr="丝丝滴DIETGRRRL头像"/>
        <xdr:cNvPicPr>
          <a:picLocks noChangeAspect="1"/>
        </xdr:cNvPicPr>
      </xdr:nvPicPr>
      <xdr:blipFill>
        <a:blip r:embed="rId70" r:link="rId2"/>
        <a:stretch>
          <a:fillRect/>
        </a:stretch>
      </xdr:blipFill>
      <xdr:spPr>
        <a:xfrm>
          <a:off x="1220470" y="1094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7" name="ID_CE7BCC6A91624D2CB1729F2763EA041C" descr="-谢安然-头像"/>
        <xdr:cNvPicPr>
          <a:picLocks noChangeAspect="1"/>
        </xdr:cNvPicPr>
      </xdr:nvPicPr>
      <xdr:blipFill>
        <a:blip r:embed="rId71" r:link="rId2"/>
        <a:stretch>
          <a:fillRect/>
        </a:stretch>
      </xdr:blipFill>
      <xdr:spPr>
        <a:xfrm>
          <a:off x="1220470" y="1043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5" name="ID_0B01EE3AE8F24C9EA8ABA8274A248C0D" descr="达莎Digi头像"/>
        <xdr:cNvPicPr>
          <a:picLocks noChangeAspect="1"/>
        </xdr:cNvPicPr>
      </xdr:nvPicPr>
      <xdr:blipFill>
        <a:blip r:embed="rId72" r:link="rId2"/>
        <a:stretch>
          <a:fillRect/>
        </a:stretch>
      </xdr:blipFill>
      <xdr:spPr>
        <a:xfrm>
          <a:off x="1220470" y="941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3" name="ID_730B0317D023468F91CFCE89195B0DCA" descr="馃挀蹇樺唇澶澶村儚"/>
        <xdr:cNvPicPr>
          <a:picLocks noChangeAspect="1"/>
        </xdr:cNvPicPr>
      </xdr:nvPicPr>
      <xdr:blipFill>
        <a:blip r:embed="rId73" r:link="rId2"/>
        <a:stretch>
          <a:fillRect/>
        </a:stretch>
      </xdr:blipFill>
      <xdr:spPr>
        <a:xfrm>
          <a:off x="1220470" y="840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0" name="ID_0CBF9193802644CAB0966EFF5519F696" descr="天巍霸霸头像"/>
        <xdr:cNvPicPr>
          <a:picLocks noChangeAspect="1"/>
        </xdr:cNvPicPr>
      </xdr:nvPicPr>
      <xdr:blipFill>
        <a:blip r:embed="rId74" r:link="rId2"/>
        <a:stretch>
          <a:fillRect/>
        </a:stretch>
      </xdr:blipFill>
      <xdr:spPr>
        <a:xfrm>
          <a:off x="1220470" y="687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8" name="ID_0BB29904F01945A098FA5B13AF9C6B23"/>
        <xdr:cNvPicPr>
          <a:picLocks noChangeAspect="1"/>
        </xdr:cNvPicPr>
      </xdr:nvPicPr>
      <xdr:blipFill>
        <a:blip r:embed="rId75" r:link="rId2"/>
        <a:stretch>
          <a:fillRect/>
        </a:stretch>
      </xdr:blipFill>
      <xdr:spPr>
        <a:xfrm>
          <a:off x="1220470" y="586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9" name="ID_B834CA9A2438445EADFD937FC78AAE9F" descr="康康和爷爷头像"/>
        <xdr:cNvPicPr>
          <a:picLocks noChangeAspect="1"/>
        </xdr:cNvPicPr>
      </xdr:nvPicPr>
      <xdr:blipFill>
        <a:blip r:embed="rId76" r:link="rId2"/>
        <a:stretch>
          <a:fillRect/>
        </a:stretch>
      </xdr:blipFill>
      <xdr:spPr>
        <a:xfrm>
          <a:off x="1220470" y="128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3" name="ID_B63F0D4E47FD4237923B412788D91114" descr="徐三柒头像"/>
        <xdr:cNvPicPr>
          <a:picLocks noChangeAspect="1"/>
        </xdr:cNvPicPr>
      </xdr:nvPicPr>
      <xdr:blipFill>
        <a:blip r:embed="rId77" r:link="rId2"/>
        <a:stretch>
          <a:fillRect/>
        </a:stretch>
      </xdr:blipFill>
      <xdr:spPr>
        <a:xfrm>
          <a:off x="1220470" y="332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4" name="ID_09555191A04C47CE80C8671C51A1789E" descr="废柴一点头像"/>
        <xdr:cNvPicPr>
          <a:picLocks noChangeAspect="1"/>
        </xdr:cNvPicPr>
      </xdr:nvPicPr>
      <xdr:blipFill>
        <a:blip r:embed="rId78" r:link="rId2"/>
        <a:stretch>
          <a:fillRect/>
        </a:stretch>
      </xdr:blipFill>
      <xdr:spPr>
        <a:xfrm>
          <a:off x="1220470" y="382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0" name="ID_401706D6110241AF85A23925E986506A"/>
        <xdr:cNvPicPr>
          <a:picLocks noChangeAspect="1"/>
        </xdr:cNvPicPr>
      </xdr:nvPicPr>
      <xdr:blipFill>
        <a:blip r:embed="rId79" r:link="rId2"/>
        <a:stretch>
          <a:fillRect/>
        </a:stretch>
      </xdr:blipFill>
      <xdr:spPr>
        <a:xfrm>
          <a:off x="1428750" y="2863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8" name="ID_5A891D8FCD964649A8E4EEEAD62562F8"/>
        <xdr:cNvPicPr>
          <a:picLocks noChangeAspect="1"/>
        </xdr:cNvPicPr>
      </xdr:nvPicPr>
      <xdr:blipFill>
        <a:blip r:embed="rId80" r:link="rId2"/>
        <a:stretch>
          <a:fillRect/>
        </a:stretch>
      </xdr:blipFill>
      <xdr:spPr>
        <a:xfrm>
          <a:off x="1428750" y="28124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8" name="ID_5E08D9A73757491D80EC53CF0B8532CB"/>
        <xdr:cNvPicPr>
          <a:picLocks noChangeAspect="1"/>
        </xdr:cNvPicPr>
      </xdr:nvPicPr>
      <xdr:blipFill>
        <a:blip r:embed="rId81" r:link="rId2"/>
        <a:stretch>
          <a:fillRect/>
        </a:stretch>
      </xdr:blipFill>
      <xdr:spPr>
        <a:xfrm>
          <a:off x="1428750" y="27298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2" name="ID_F652C207402A4EFB961D0799CB123FE5"/>
        <xdr:cNvPicPr>
          <a:picLocks noChangeAspect="1"/>
        </xdr:cNvPicPr>
      </xdr:nvPicPr>
      <xdr:blipFill>
        <a:blip r:embed="rId82" r:link="rId2"/>
        <a:stretch>
          <a:fillRect/>
        </a:stretch>
      </xdr:blipFill>
      <xdr:spPr>
        <a:xfrm>
          <a:off x="1428750" y="26282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1" name="ID_AAD41A3608BA499BB3B2FD1402694A71"/>
        <xdr:cNvPicPr>
          <a:picLocks noChangeAspect="1"/>
        </xdr:cNvPicPr>
      </xdr:nvPicPr>
      <xdr:blipFill>
        <a:blip r:embed="rId83" r:link="rId2"/>
        <a:stretch>
          <a:fillRect/>
        </a:stretch>
      </xdr:blipFill>
      <xdr:spPr>
        <a:xfrm>
          <a:off x="1428750" y="25774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0" name="ID_82BAEAD4A8B04B6A86EA0B945ACFB8ED"/>
        <xdr:cNvPicPr>
          <a:picLocks noChangeAspect="1"/>
        </xdr:cNvPicPr>
      </xdr:nvPicPr>
      <xdr:blipFill>
        <a:blip r:embed="rId84" r:link="rId2"/>
        <a:stretch>
          <a:fillRect/>
        </a:stretch>
      </xdr:blipFill>
      <xdr:spPr>
        <a:xfrm>
          <a:off x="1428750" y="25266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7" name="ID_D9CE992367B2406F818344C9598E8010"/>
        <xdr:cNvPicPr>
          <a:picLocks noChangeAspect="1"/>
        </xdr:cNvPicPr>
      </xdr:nvPicPr>
      <xdr:blipFill>
        <a:blip r:embed="rId85" r:link="rId2"/>
        <a:stretch>
          <a:fillRect/>
        </a:stretch>
      </xdr:blipFill>
      <xdr:spPr>
        <a:xfrm>
          <a:off x="1428750" y="23933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3" name="ID_1342947BE7894E3E8205ACD75702691A"/>
        <xdr:cNvPicPr>
          <a:picLocks noChangeAspect="1"/>
        </xdr:cNvPicPr>
      </xdr:nvPicPr>
      <xdr:blipFill>
        <a:blip r:embed="rId86" r:link="rId2"/>
        <a:stretch>
          <a:fillRect/>
        </a:stretch>
      </xdr:blipFill>
      <xdr:spPr>
        <a:xfrm>
          <a:off x="1428750" y="23425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7" name="ID_69A1947915674D9CB0631F5D4C3CDFDE"/>
        <xdr:cNvPicPr>
          <a:picLocks noChangeAspect="1"/>
        </xdr:cNvPicPr>
      </xdr:nvPicPr>
      <xdr:blipFill>
        <a:blip r:embed="rId87" r:link="rId2"/>
        <a:stretch>
          <a:fillRect/>
        </a:stretch>
      </xdr:blipFill>
      <xdr:spPr>
        <a:xfrm>
          <a:off x="1428750" y="22091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6" name="ID_5D30AC2FB77E462F933F8BAFB9E4736D"/>
        <xdr:cNvPicPr>
          <a:picLocks noChangeAspect="1"/>
        </xdr:cNvPicPr>
      </xdr:nvPicPr>
      <xdr:blipFill>
        <a:blip r:embed="rId88" r:link="rId2"/>
        <a:stretch>
          <a:fillRect/>
        </a:stretch>
      </xdr:blipFill>
      <xdr:spPr>
        <a:xfrm>
          <a:off x="1428750" y="21583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9" name="ID_3DC8C9DC7D2A40A182F096AE2C13FE48"/>
        <xdr:cNvPicPr>
          <a:picLocks noChangeAspect="1"/>
        </xdr:cNvPicPr>
      </xdr:nvPicPr>
      <xdr:blipFill>
        <a:blip r:embed="rId89" r:link="rId2"/>
        <a:stretch>
          <a:fillRect/>
        </a:stretch>
      </xdr:blipFill>
      <xdr:spPr>
        <a:xfrm>
          <a:off x="1428750" y="20567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8" name="ID_CF3E9C04E2EB483DB964FAB1C49DFD49"/>
        <xdr:cNvPicPr>
          <a:picLocks noChangeAspect="1"/>
        </xdr:cNvPicPr>
      </xdr:nvPicPr>
      <xdr:blipFill>
        <a:blip r:embed="rId90" r:link="rId2"/>
        <a:stretch>
          <a:fillRect/>
        </a:stretch>
      </xdr:blipFill>
      <xdr:spPr>
        <a:xfrm>
          <a:off x="1428750" y="20059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7" name="ID_B1795C0DC3FD4663ABD5DF9C682C22A7"/>
        <xdr:cNvPicPr>
          <a:picLocks noChangeAspect="1"/>
        </xdr:cNvPicPr>
      </xdr:nvPicPr>
      <xdr:blipFill>
        <a:blip r:embed="rId91" r:link="rId2"/>
        <a:stretch>
          <a:fillRect/>
        </a:stretch>
      </xdr:blipFill>
      <xdr:spPr>
        <a:xfrm>
          <a:off x="1428750" y="19551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6" name="ID_EBD2631FCAEC4FDD92F0E226BE26ACCF"/>
        <xdr:cNvPicPr>
          <a:picLocks noChangeAspect="1"/>
        </xdr:cNvPicPr>
      </xdr:nvPicPr>
      <xdr:blipFill>
        <a:blip r:embed="rId92" r:link="rId2"/>
        <a:stretch>
          <a:fillRect/>
        </a:stretch>
      </xdr:blipFill>
      <xdr:spPr>
        <a:xfrm>
          <a:off x="1428750" y="19043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1" name="ID_40729C90AA504E43B7F3045BA84F64C8"/>
        <xdr:cNvPicPr>
          <a:picLocks noChangeAspect="1"/>
        </xdr:cNvPicPr>
      </xdr:nvPicPr>
      <xdr:blipFill>
        <a:blip r:embed="rId93" r:link="rId2"/>
        <a:stretch>
          <a:fillRect/>
        </a:stretch>
      </xdr:blipFill>
      <xdr:spPr>
        <a:xfrm>
          <a:off x="1428750" y="18027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4" name="ID_BD7D2AE1FEEA4B539B8A02E17754BB63"/>
        <xdr:cNvPicPr>
          <a:picLocks noChangeAspect="1"/>
        </xdr:cNvPicPr>
      </xdr:nvPicPr>
      <xdr:blipFill>
        <a:blip r:embed="rId94" r:link="rId2"/>
        <a:stretch>
          <a:fillRect/>
        </a:stretch>
      </xdr:blipFill>
      <xdr:spPr>
        <a:xfrm>
          <a:off x="1428750" y="1567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6" name="ID_8800038899AD4ADFA16C59953E0E4EFB"/>
        <xdr:cNvPicPr>
          <a:picLocks noChangeAspect="1"/>
        </xdr:cNvPicPr>
      </xdr:nvPicPr>
      <xdr:blipFill>
        <a:blip r:embed="rId95" r:link="rId2"/>
        <a:stretch>
          <a:fillRect/>
        </a:stretch>
      </xdr:blipFill>
      <xdr:spPr>
        <a:xfrm>
          <a:off x="1428750" y="1466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8" name="ID_84004700788346389F1F6AFA69A290F1"/>
        <xdr:cNvPicPr>
          <a:picLocks noChangeAspect="1"/>
        </xdr:cNvPicPr>
      </xdr:nvPicPr>
      <xdr:blipFill>
        <a:blip r:embed="rId96" r:link="rId2"/>
        <a:stretch>
          <a:fillRect/>
        </a:stretch>
      </xdr:blipFill>
      <xdr:spPr>
        <a:xfrm>
          <a:off x="1428750" y="12630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9" name="ID_45364279DDF94FE1A6F8998A67BC42D7"/>
        <xdr:cNvPicPr>
          <a:picLocks noChangeAspect="1"/>
        </xdr:cNvPicPr>
      </xdr:nvPicPr>
      <xdr:blipFill>
        <a:blip r:embed="rId97" r:link="rId2"/>
        <a:stretch>
          <a:fillRect/>
        </a:stretch>
      </xdr:blipFill>
      <xdr:spPr>
        <a:xfrm>
          <a:off x="1428750" y="1212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6" name="ID_C6E0F729476145B1B33570844F7AEF28"/>
        <xdr:cNvPicPr>
          <a:picLocks noChangeAspect="1"/>
        </xdr:cNvPicPr>
      </xdr:nvPicPr>
      <xdr:blipFill>
        <a:blip r:embed="rId98" r:link="rId2"/>
        <a:stretch>
          <a:fillRect/>
        </a:stretch>
      </xdr:blipFill>
      <xdr:spPr>
        <a:xfrm>
          <a:off x="1428750" y="11614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5" name="ID_FA8F7ABC3FD04308948A3D7BFA18D1AC"/>
        <xdr:cNvPicPr>
          <a:picLocks noChangeAspect="1"/>
        </xdr:cNvPicPr>
      </xdr:nvPicPr>
      <xdr:blipFill>
        <a:blip r:embed="rId99" r:link="rId2"/>
        <a:stretch>
          <a:fillRect/>
        </a:stretch>
      </xdr:blipFill>
      <xdr:spPr>
        <a:xfrm>
          <a:off x="1428750" y="11106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0" name="ID_28AF013E9BC74A9BB281DFE6F191EB91"/>
        <xdr:cNvPicPr>
          <a:picLocks noChangeAspect="1"/>
        </xdr:cNvPicPr>
      </xdr:nvPicPr>
      <xdr:blipFill>
        <a:blip r:embed="rId100" r:link="rId2"/>
        <a:stretch>
          <a:fillRect/>
        </a:stretch>
      </xdr:blipFill>
      <xdr:spPr>
        <a:xfrm>
          <a:off x="1428750" y="1059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9" name="ID_1F6039D1EC9A4ED1B5C8363E408EB7BE"/>
        <xdr:cNvPicPr>
          <a:picLocks noChangeAspect="1"/>
        </xdr:cNvPicPr>
      </xdr:nvPicPr>
      <xdr:blipFill>
        <a:blip r:embed="rId101" r:link="rId2"/>
        <a:stretch>
          <a:fillRect/>
        </a:stretch>
      </xdr:blipFill>
      <xdr:spPr>
        <a:xfrm>
          <a:off x="1428750" y="10090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8" name="ID_1D9773756B9F4E2497E24C113846755A"/>
        <xdr:cNvPicPr>
          <a:picLocks noChangeAspect="1"/>
        </xdr:cNvPicPr>
      </xdr:nvPicPr>
      <xdr:blipFill>
        <a:blip r:embed="rId102" r:link="rId2"/>
        <a:stretch>
          <a:fillRect/>
        </a:stretch>
      </xdr:blipFill>
      <xdr:spPr>
        <a:xfrm>
          <a:off x="1428750" y="8566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6" name="ID_BDFF3AF9C2294AA489B20ABC23BFEC80"/>
        <xdr:cNvPicPr>
          <a:picLocks noChangeAspect="1"/>
        </xdr:cNvPicPr>
      </xdr:nvPicPr>
      <xdr:blipFill>
        <a:blip r:embed="rId103" r:link="rId2"/>
        <a:stretch>
          <a:fillRect/>
        </a:stretch>
      </xdr:blipFill>
      <xdr:spPr>
        <a:xfrm>
          <a:off x="1428750" y="805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4" name="ID_612B44CB1D6848CBB0234577403521E6"/>
        <xdr:cNvPicPr>
          <a:picLocks noChangeAspect="1"/>
        </xdr:cNvPicPr>
      </xdr:nvPicPr>
      <xdr:blipFill>
        <a:blip r:embed="rId104" r:link="rId2"/>
        <a:stretch>
          <a:fillRect/>
        </a:stretch>
      </xdr:blipFill>
      <xdr:spPr>
        <a:xfrm>
          <a:off x="1428750" y="704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5" name="ID_86D753D5DE2B472CAA26ACB3512EADAF"/>
        <xdr:cNvPicPr>
          <a:picLocks noChangeAspect="1"/>
        </xdr:cNvPicPr>
      </xdr:nvPicPr>
      <xdr:blipFill>
        <a:blip r:embed="rId105" r:link="rId2"/>
        <a:stretch>
          <a:fillRect/>
        </a:stretch>
      </xdr:blipFill>
      <xdr:spPr>
        <a:xfrm>
          <a:off x="1428750" y="4692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9" name="ID_4A55488DBDAD49579EB233663CB69660"/>
        <xdr:cNvPicPr>
          <a:picLocks noChangeAspect="1"/>
        </xdr:cNvPicPr>
      </xdr:nvPicPr>
      <xdr:blipFill>
        <a:blip r:embed="rId106" r:link="rId2"/>
        <a:stretch>
          <a:fillRect/>
        </a:stretch>
      </xdr:blipFill>
      <xdr:spPr>
        <a:xfrm>
          <a:off x="1428750" y="4184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7" name="ID_2D5765BFE8F6423B87A32A48EFC80740"/>
        <xdr:cNvPicPr>
          <a:picLocks noChangeAspect="1"/>
        </xdr:cNvPicPr>
      </xdr:nvPicPr>
      <xdr:blipFill>
        <a:blip r:embed="rId107" r:link="rId2"/>
        <a:stretch>
          <a:fillRect/>
        </a:stretch>
      </xdr:blipFill>
      <xdr:spPr>
        <a:xfrm>
          <a:off x="1428750" y="3168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02" name="ID_30AC8A19BCA44ACEB2336397680E6576"/>
        <xdr:cNvPicPr>
          <a:picLocks noChangeAspect="1"/>
        </xdr:cNvPicPr>
      </xdr:nvPicPr>
      <xdr:blipFill>
        <a:blip r:embed="rId108" r:link="rId2"/>
        <a:stretch>
          <a:fillRect/>
        </a:stretch>
      </xdr:blipFill>
      <xdr:spPr>
        <a:xfrm>
          <a:off x="1428750" y="7550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9" name="ID_FA9FF34377084D008B1E566C0AFB056C" descr="夏77🟡头像"/>
        <xdr:cNvPicPr>
          <a:picLocks noChangeAspect="1"/>
        </xdr:cNvPicPr>
      </xdr:nvPicPr>
      <xdr:blipFill>
        <a:blip r:embed="rId109" r:link="rId2"/>
        <a:stretch>
          <a:fillRect/>
        </a:stretch>
      </xdr:blipFill>
      <xdr:spPr>
        <a:xfrm>
          <a:off x="1323975" y="3221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0" name="ID_AAD39A6E8CE0488386F06F9435D649BA" descr="周三拾头像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1323975" y="2713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5" name="ID_99668B7599544B11ACEEA3FF1EB72326" descr="222222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1323975" y="1697355"/>
          <a:ext cx="476250" cy="476250"/>
        </a:xfrm>
        <a:prstGeom prst="ellipse">
          <a:avLst/>
        </a:prstGeom>
      </xdr:spPr>
    </xdr:pic>
  </etc:cellImage>
  <etc:cellImage>
    <xdr:pic>
      <xdr:nvPicPr>
        <xdr:cNvPr id="324" name="ID_B80174DB818F42F89E0B16F62B09933C"/>
        <xdr:cNvPicPr>
          <a:picLocks noChangeAspect="1"/>
        </xdr:cNvPicPr>
      </xdr:nvPicPr>
      <xdr:blipFill>
        <a:blip r:embed="rId111" r:link="rId2"/>
        <a:stretch>
          <a:fillRect/>
        </a:stretch>
      </xdr:blipFill>
      <xdr:spPr>
        <a:xfrm>
          <a:off x="1323975" y="1189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6" name="ID_66734896A6CE47A2BD8361F520FC4D67"/>
        <xdr:cNvPicPr>
          <a:picLocks noChangeAspect="1"/>
        </xdr:cNvPicPr>
      </xdr:nvPicPr>
      <xdr:blipFill>
        <a:blip r:embed="rId112" r:link="rId2"/>
        <a:stretch>
          <a:fillRect/>
        </a:stretch>
      </xdr:blipFill>
      <xdr:spPr>
        <a:xfrm>
          <a:off x="1323975" y="2205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2" name="ID_626A900E97CD4D76BD090642741F6160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1323340" y="13381355"/>
          <a:ext cx="47688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20" name="ID_A290CB62DF864653937157D52A36932D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1323975" y="1236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9" name="ID_F845F0F5143C4371838AA6AAD6CD942F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1323975" y="1185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8" name="ID_DA11735B583344F4A82F2C67BAA8654D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1323975" y="11349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7" name="ID_2484A8D868EC425E8939737377034235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1324610" y="10841355"/>
          <a:ext cx="47498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6" name="ID_F5EA9D11E33840EFBE3B8CBD3192C044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1323975" y="10333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5" name="ID_15DF3A6DBEC148C686645E22E40F4E4C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1323975" y="982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3" name="ID_DAEAD40171974277989C87D4F39C2C7E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1323975" y="8809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2" name="ID_FB1725C3E8784889B3C65B0A2BFFCEF2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1323975" y="8301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0" name="ID_C0369C1D442B4E6DBE6E0A428034CC10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1323975" y="728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9" name="ID_A01A56B69EC04AEAA2EB34AE6E1AFE2E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1323975" y="677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7" name="ID_51D64287C69C4E72B4DC568CA5C0A8DB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1323975" y="5761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6" name="ID_96C9A41FE3F94ADC8CC27D709951F53C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1323975" y="5253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4" name="ID_A962B447B9374ACDB54DA6072F69A698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1323975" y="423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98" name="ID_22FABF50CE8D4FE4A2A41D38745F4816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1323975" y="1189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0" name="ID_AAAD5394AEDE4534B3B6770F136166B8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1323975" y="220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2" name="ID_E5744359F8904C5A8E437F348DF11B4C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1323975" y="3221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3" name="ID_A934BBBA568A4A7AAC0C7DC4E37B6F9F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1323975" y="3729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5" name="ID_3F01711F02924B928AF22A3322088269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1323975" y="474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5" name="ID_F70DEC92B2DB48969925335DDA7128E1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1342390" y="1701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4" name="ID_160376FC8C8D4E8BA2F154BAA03B7139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1342390" y="1650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3" name="ID_B29E0B8463234924BBB65C6C79031091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1342390" y="1599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1" name="ID_2D4F19422DD94E92A557E4477C27D288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1342390" y="1498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8" name="ID_11248BC070EE486982BB0B5EC2E9CB12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1342390" y="1345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6" name="ID_F258CD6BFCC5411D95997B2394662D36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1342390" y="1244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5" name="ID_663EA6CF7ADA4C04BFCE7AC30DCA86B5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1342390" y="1193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4" name="ID_20E53883F1124D6F8D6D09ABD2B68B86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1342390" y="1142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9" name="ID_FF56D58A0B064C748DEF09A2D4A64B27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1342390" y="888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8" name="ID_1FBA0DA8850F45B18BD38BE9C61D257B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1342390" y="837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7" name="ID_6F063E78CAA44C75BAB4ABB2103D579B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1342390" y="7869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6" name="ID_76C7B55021AF42D1BA111CC35C0756B9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1342390" y="736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5" name="ID_025CA94001EB422FA8A8B10D9D24F3E4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1342390" y="685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4" name="ID_F25E324AE5054E67926089463596587E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1342390" y="634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3" name="ID_8503B5DF2ACE4D4F8E79C83170350E98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1342390" y="583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5" name="ID_2822CA7DD28E4D9B81A96CD835701EAD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1342390" y="177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4" name="ID_DF88F420442B491A9C2F559EA8524D3B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1342390" y="126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7" name="ID_842E70D6C5444F43B9B07890F4642BA6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1342390" y="2789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8" name="ID_5465629EB21547AC9697D20C626B9ADE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1342390" y="329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9" name="ID_26D1295F321E48D4BF3B83DA8D2BEDF0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1342390" y="380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0" name="ID_EA258259F9F540969492DBE4307EC17C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1342390" y="431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1" name="ID_44D20FEE6BF8478AA7A833989426D7D3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1342390" y="482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132" name="ID_467966D24D254DAFB9025E4824C38221" descr="无糖奶茶头像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795020" y="7334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7" name="ID_372925DD8CB0467B92525FA61EF5FB7D"/>
        <xdr:cNvPicPr>
          <a:picLocks noChangeAspect="1"/>
        </xdr:cNvPicPr>
      </xdr:nvPicPr>
      <xdr:blipFill>
        <a:blip r:embed="rId154" r:link="rId2"/>
        <a:stretch>
          <a:fillRect/>
        </a:stretch>
      </xdr:blipFill>
      <xdr:spPr>
        <a:xfrm>
          <a:off x="795020" y="6826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6" name="ID_C84293C4FCB849FA9DC9DEC789150165"/>
        <xdr:cNvPicPr>
          <a:picLocks noChangeAspect="1"/>
        </xdr:cNvPicPr>
      </xdr:nvPicPr>
      <xdr:blipFill>
        <a:blip r:embed="rId155" r:link="rId2"/>
        <a:stretch>
          <a:fillRect/>
        </a:stretch>
      </xdr:blipFill>
      <xdr:spPr>
        <a:xfrm>
          <a:off x="795020" y="5810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5" name="ID_71A68A67E6D94B428053E8A3DDFE409E"/>
        <xdr:cNvPicPr>
          <a:picLocks noChangeAspect="1"/>
        </xdr:cNvPicPr>
      </xdr:nvPicPr>
      <xdr:blipFill>
        <a:blip r:embed="rId156" r:link="rId2"/>
        <a:stretch>
          <a:fillRect/>
        </a:stretch>
      </xdr:blipFill>
      <xdr:spPr>
        <a:xfrm>
          <a:off x="795655" y="5302250"/>
          <a:ext cx="475615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1" name="ID_17F8DAE0FB3944338FDD5DD9E57873C1"/>
        <xdr:cNvPicPr>
          <a:picLocks noChangeAspect="1"/>
        </xdr:cNvPicPr>
      </xdr:nvPicPr>
      <xdr:blipFill>
        <a:blip r:embed="rId157" r:link="rId2"/>
        <a:stretch>
          <a:fillRect/>
        </a:stretch>
      </xdr:blipFill>
      <xdr:spPr>
        <a:xfrm>
          <a:off x="795020" y="2254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4" name="ID_5BA8960DA9DB42B0B6587B58B3D08D39" descr="朱铁雄头像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798830" y="1238250"/>
          <a:ext cx="469265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5" name="ID_F79D9C42E0B9416AB978B02977D16978" descr="雪蕊宝宝头像"/>
        <xdr:cNvPicPr>
          <a:picLocks noChangeAspect="1"/>
        </xdr:cNvPicPr>
      </xdr:nvPicPr>
      <xdr:blipFill>
        <a:blip r:embed="rId159" r:link="rId2"/>
        <a:stretch>
          <a:fillRect/>
        </a:stretch>
      </xdr:blipFill>
      <xdr:spPr>
        <a:xfrm>
          <a:off x="795020" y="1746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2" name="ID_F0EE0381F5B1436DAEEE251ADF939B0E"/>
        <xdr:cNvPicPr>
          <a:picLocks noChangeAspect="1"/>
        </xdr:cNvPicPr>
      </xdr:nvPicPr>
      <xdr:blipFill>
        <a:blip r:embed="rId160" r:link="rId2"/>
        <a:stretch>
          <a:fillRect/>
        </a:stretch>
      </xdr:blipFill>
      <xdr:spPr>
        <a:xfrm>
          <a:off x="795020" y="3778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3" name="ID_CB3295A1027744EC857B486DC6893A52"/>
        <xdr:cNvPicPr>
          <a:picLocks noChangeAspect="1"/>
        </xdr:cNvPicPr>
      </xdr:nvPicPr>
      <xdr:blipFill>
        <a:blip r:embed="rId161" r:link="rId2"/>
        <a:stretch>
          <a:fillRect/>
        </a:stretch>
      </xdr:blipFill>
      <xdr:spPr>
        <a:xfrm>
          <a:off x="795020" y="4286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4" name="ID_EBCA562BE6304D399B78784BF72C7A46"/>
        <xdr:cNvPicPr>
          <a:picLocks noChangeAspect="1"/>
        </xdr:cNvPicPr>
      </xdr:nvPicPr>
      <xdr:blipFill>
        <a:blip r:embed="rId162" r:link="rId2"/>
        <a:stretch>
          <a:fillRect/>
        </a:stretch>
      </xdr:blipFill>
      <xdr:spPr>
        <a:xfrm>
          <a:off x="795020" y="4794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6" name="ID_BC10D53D01AB439C8C91A8495437B0BD" descr="gìngìn头像"/>
        <xdr:cNvPicPr>
          <a:picLocks noChangeAspect="1"/>
        </xdr:cNvPicPr>
      </xdr:nvPicPr>
      <xdr:blipFill>
        <a:blip r:embed="rId163" r:link="rId2"/>
        <a:stretch>
          <a:fillRect/>
        </a:stretch>
      </xdr:blipFill>
      <xdr:spPr>
        <a:xfrm>
          <a:off x="375920" y="27070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5" name="ID_AE0D326C3431465AB31A17963D0A4333" descr="羊羊头像"/>
        <xdr:cNvPicPr>
          <a:picLocks noChangeAspect="1"/>
        </xdr:cNvPicPr>
      </xdr:nvPicPr>
      <xdr:blipFill>
        <a:blip r:embed="rId164" r:link="rId2"/>
        <a:stretch>
          <a:fillRect/>
        </a:stretch>
      </xdr:blipFill>
      <xdr:spPr>
        <a:xfrm>
          <a:off x="375920" y="26625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8" name="ID_D9FB7FDC3CA64F10A2691A5E85966BA3" descr="捣蛋丸子头像"/>
        <xdr:cNvPicPr>
          <a:picLocks noChangeAspect="1"/>
        </xdr:cNvPicPr>
      </xdr:nvPicPr>
      <xdr:blipFill>
        <a:blip r:embed="rId165" r:link="rId2"/>
        <a:stretch>
          <a:fillRect/>
        </a:stretch>
      </xdr:blipFill>
      <xdr:spPr>
        <a:xfrm>
          <a:off x="375920" y="23514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0" name="ID_944A52349608496F82FAF7AF11D27DA3" descr="是蕾蕾呐头像"/>
        <xdr:cNvPicPr>
          <a:picLocks noChangeAspect="1"/>
        </xdr:cNvPicPr>
      </xdr:nvPicPr>
      <xdr:blipFill>
        <a:blip r:embed="rId166" r:link="rId2"/>
        <a:stretch>
          <a:fillRect/>
        </a:stretch>
      </xdr:blipFill>
      <xdr:spPr>
        <a:xfrm>
          <a:off x="375920" y="19069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6" name="ID_3BA253F562B54339B4A9619792A8864F" descr="黄毅豪LeoWong头像"/>
        <xdr:cNvPicPr>
          <a:picLocks noChangeAspect="1"/>
        </xdr:cNvPicPr>
      </xdr:nvPicPr>
      <xdr:blipFill>
        <a:blip r:embed="rId167" r:link="rId2"/>
        <a:stretch>
          <a:fillRect/>
        </a:stretch>
      </xdr:blipFill>
      <xdr:spPr>
        <a:xfrm>
          <a:off x="375920" y="18180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0" name="ID_A3F44AC569AB446BA8AB93D7247E5A6B" descr="陈泽宇头像"/>
        <xdr:cNvPicPr>
          <a:picLocks noChangeAspect="1"/>
        </xdr:cNvPicPr>
      </xdr:nvPicPr>
      <xdr:blipFill>
        <a:blip r:embed="rId168" r:link="rId2"/>
        <a:stretch>
          <a:fillRect/>
        </a:stretch>
      </xdr:blipFill>
      <xdr:spPr>
        <a:xfrm>
          <a:off x="375920" y="17291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0" name="ID_996902304CC646A3B6EBBBFF8B73BD30" descr="姹熷皬甯嗗竼馃挜澶村儚"/>
        <xdr:cNvPicPr>
          <a:picLocks noChangeAspect="1"/>
        </xdr:cNvPicPr>
      </xdr:nvPicPr>
      <xdr:blipFill>
        <a:blip r:embed="rId169" r:link="rId2"/>
        <a:stretch>
          <a:fillRect/>
        </a:stretch>
      </xdr:blipFill>
      <xdr:spPr>
        <a:xfrm>
          <a:off x="375920" y="15068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3" name="ID_811F6202021D4B43A8DEB03B8172AF1D" descr="小白不小头像"/>
        <xdr:cNvPicPr>
          <a:picLocks noChangeAspect="1"/>
        </xdr:cNvPicPr>
      </xdr:nvPicPr>
      <xdr:blipFill>
        <a:blip r:embed="rId170" r:link="rId2"/>
        <a:stretch>
          <a:fillRect/>
        </a:stretch>
      </xdr:blipFill>
      <xdr:spPr>
        <a:xfrm>
          <a:off x="375920" y="13735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5" name="ID_67690179DE0B42EAAD4DB5DA4B5A0F4F" descr="雪蕊宝宝头像"/>
        <xdr:cNvPicPr>
          <a:picLocks noChangeAspect="1"/>
        </xdr:cNvPicPr>
      </xdr:nvPicPr>
      <xdr:blipFill>
        <a:blip r:embed="rId159" r:link="rId2"/>
        <a:stretch>
          <a:fillRect/>
        </a:stretch>
      </xdr:blipFill>
      <xdr:spPr>
        <a:xfrm>
          <a:off x="375920" y="12846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8" name="ID_5FDE35B0268C46BCB70D6DA4A875921A" descr="于洋。头像"/>
        <xdr:cNvPicPr>
          <a:picLocks noChangeAspect="1"/>
        </xdr:cNvPicPr>
      </xdr:nvPicPr>
      <xdr:blipFill>
        <a:blip r:embed="rId171" r:link="rId2"/>
        <a:stretch>
          <a:fillRect/>
        </a:stretch>
      </xdr:blipFill>
      <xdr:spPr>
        <a:xfrm>
          <a:off x="375920" y="11512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9" name="ID_58F2FCD39BC540128C7BEAE2A0928024" descr="你的一航头像"/>
        <xdr:cNvPicPr>
          <a:picLocks noChangeAspect="1"/>
        </xdr:cNvPicPr>
      </xdr:nvPicPr>
      <xdr:blipFill>
        <a:blip r:embed="rId172" r:link="rId2"/>
        <a:stretch>
          <a:fillRect/>
        </a:stretch>
      </xdr:blipFill>
      <xdr:spPr>
        <a:xfrm>
          <a:off x="375920" y="11068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1" name="ID_2031D1DA6A704E79BB7A156D3A8FFDD8" descr="玉总Lesley头像"/>
        <xdr:cNvPicPr>
          <a:picLocks noChangeAspect="1"/>
        </xdr:cNvPicPr>
      </xdr:nvPicPr>
      <xdr:blipFill>
        <a:blip r:embed="rId173" r:link="rId2"/>
        <a:stretch>
          <a:fillRect/>
        </a:stretch>
      </xdr:blipFill>
      <xdr:spPr>
        <a:xfrm>
          <a:off x="375920" y="10179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6" name="ID_0F56D0A8EA4C4786AD6FCABB58AB23E6" descr="闆効馃尀(浼戝吇涓級澶村儚"/>
        <xdr:cNvPicPr>
          <a:picLocks noChangeAspect="1"/>
        </xdr:cNvPicPr>
      </xdr:nvPicPr>
      <xdr:blipFill>
        <a:blip r:embed="rId174" r:link="rId2"/>
        <a:stretch>
          <a:fillRect/>
        </a:stretch>
      </xdr:blipFill>
      <xdr:spPr>
        <a:xfrm>
          <a:off x="375920" y="7956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7" name="ID_61797551686346DC9014A66E142A21ED" descr="我不是保琳球头像"/>
        <xdr:cNvPicPr>
          <a:picLocks noChangeAspect="1"/>
        </xdr:cNvPicPr>
      </xdr:nvPicPr>
      <xdr:blipFill>
        <a:blip r:embed="rId175" r:link="rId2"/>
        <a:stretch>
          <a:fillRect/>
        </a:stretch>
      </xdr:blipFill>
      <xdr:spPr>
        <a:xfrm>
          <a:off x="375920" y="7512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1" name="ID_239842D3F75A4FE68730B55C4EC3A2AF" descr="长轴距小助理头像"/>
        <xdr:cNvPicPr>
          <a:picLocks noChangeAspect="1"/>
        </xdr:cNvPicPr>
      </xdr:nvPicPr>
      <xdr:blipFill>
        <a:blip r:embed="rId176" r:link="rId2"/>
        <a:stretch>
          <a:fillRect/>
        </a:stretch>
      </xdr:blipFill>
      <xdr:spPr>
        <a:xfrm>
          <a:off x="375920" y="5734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8" name="ID_8E572C28C332409CBC778FAC9CC485EE" descr="鍒樻鎮︷煄ゅ師鍒涘崟鏇层€婇€佸懡棰樸€嬪凡鍏ㄧ綉涓婄嚎澶村儚"/>
        <xdr:cNvPicPr>
          <a:picLocks noChangeAspect="1"/>
        </xdr:cNvPicPr>
      </xdr:nvPicPr>
      <xdr:blipFill>
        <a:blip r:embed="rId177" r:link="rId2"/>
        <a:stretch>
          <a:fillRect/>
        </a:stretch>
      </xdr:blipFill>
      <xdr:spPr>
        <a:xfrm>
          <a:off x="375920" y="3067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9" name="ID_51CC1604D87B4A769D49B1E9D059D9BE" descr="舞编K文头像"/>
        <xdr:cNvPicPr>
          <a:picLocks noChangeAspect="1"/>
        </xdr:cNvPicPr>
      </xdr:nvPicPr>
      <xdr:blipFill>
        <a:blip r:embed="rId178" r:link="rId2"/>
        <a:stretch>
          <a:fillRect/>
        </a:stretch>
      </xdr:blipFill>
      <xdr:spPr>
        <a:xfrm>
          <a:off x="375920" y="3511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" name="ID_3612EE88D5934574A901D287B93AF116" descr="榴莲阿头像"/>
        <xdr:cNvPicPr>
          <a:picLocks noChangeAspect="1"/>
        </xdr:cNvPicPr>
      </xdr:nvPicPr>
      <xdr:blipFill>
        <a:blip r:embed="rId179" r:link="rId2"/>
        <a:stretch>
          <a:fillRect/>
        </a:stretch>
      </xdr:blipFill>
      <xdr:spPr>
        <a:xfrm>
          <a:off x="1163320" y="736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" name="ID_8F6E789AFED045BC8BD281E8D1E2E449" descr="失野晶头像"/>
        <xdr:cNvPicPr>
          <a:picLocks noChangeAspect="1"/>
        </xdr:cNvPicPr>
      </xdr:nvPicPr>
      <xdr:blipFill>
        <a:blip r:embed="rId180" r:link="rId2"/>
        <a:stretch>
          <a:fillRect/>
        </a:stretch>
      </xdr:blipFill>
      <xdr:spPr>
        <a:xfrm>
          <a:off x="934720" y="48577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" name="ID_9F98F5572FA143D1A3AA0C7A4A20E102"/>
        <xdr:cNvPicPr>
          <a:picLocks noChangeAspect="1"/>
        </xdr:cNvPicPr>
      </xdr:nvPicPr>
      <xdr:blipFill>
        <a:blip r:embed="rId181" r:link="rId2"/>
        <a:stretch>
          <a:fillRect/>
        </a:stretch>
      </xdr:blipFill>
      <xdr:spPr>
        <a:xfrm>
          <a:off x="1371600" y="12065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1" name="ID_C63D8BEF69054299BD99EFFB82F2FA85"/>
        <xdr:cNvPicPr>
          <a:picLocks noChangeAspect="1"/>
        </xdr:cNvPicPr>
      </xdr:nvPicPr>
      <xdr:blipFill>
        <a:blip r:embed="rId182" r:link="rId2"/>
        <a:stretch>
          <a:fillRect/>
        </a:stretch>
      </xdr:blipFill>
      <xdr:spPr>
        <a:xfrm>
          <a:off x="1371600" y="156210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" name="ID_1D344B6954DA404A99AA33F1FE741BC1" descr="鍙跺瓙瀹濆疂馃崈CAG澶村儚"/>
        <xdr:cNvPicPr>
          <a:picLocks noChangeAspect="1"/>
        </xdr:cNvPicPr>
      </xdr:nvPicPr>
      <xdr:blipFill>
        <a:blip r:embed="rId183" r:link="rId2"/>
        <a:stretch>
          <a:fillRect/>
        </a:stretch>
      </xdr:blipFill>
      <xdr:spPr>
        <a:xfrm>
          <a:off x="934720" y="1270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1" name="ID_A6675DD95B294FC2ACC30F776E4AB778"/>
        <xdr:cNvPicPr>
          <a:picLocks noChangeAspect="1"/>
        </xdr:cNvPicPr>
      </xdr:nvPicPr>
      <xdr:blipFill>
        <a:blip r:embed="rId184" r:link="rId2"/>
        <a:stretch>
          <a:fillRect/>
        </a:stretch>
      </xdr:blipFill>
      <xdr:spPr>
        <a:xfrm>
          <a:off x="1371600" y="1587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" name="ID_E087719546474FE096C56135EBBC5D5A"/>
        <xdr:cNvPicPr>
          <a:picLocks noChangeAspect="1"/>
        </xdr:cNvPicPr>
      </xdr:nvPicPr>
      <xdr:blipFill>
        <a:blip r:embed="rId185" r:link="rId2"/>
        <a:stretch>
          <a:fillRect/>
        </a:stretch>
      </xdr:blipFill>
      <xdr:spPr>
        <a:xfrm>
          <a:off x="1371600" y="2095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" name="ID_5FBD3AADE5A8499AAD44448BAFF3AB1B" descr="柒柒科技测评头像"/>
        <xdr:cNvPicPr>
          <a:picLocks noChangeAspect="1"/>
        </xdr:cNvPicPr>
      </xdr:nvPicPr>
      <xdr:blipFill>
        <a:blip r:embed="rId186" r:link="rId2"/>
        <a:stretch>
          <a:fillRect/>
        </a:stretch>
      </xdr:blipFill>
      <xdr:spPr>
        <a:xfrm>
          <a:off x="1163320" y="14478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" name="ID_B1AF27D69EFC45A7AFD3F8470C2DF902" descr="飞飞Lf头像"/>
        <xdr:cNvPicPr>
          <a:picLocks noChangeAspect="1"/>
        </xdr:cNvPicPr>
      </xdr:nvPicPr>
      <xdr:blipFill>
        <a:blip r:embed="rId187" r:link="rId2"/>
        <a:stretch>
          <a:fillRect/>
        </a:stretch>
      </xdr:blipFill>
      <xdr:spPr>
        <a:xfrm>
          <a:off x="352425" y="1714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6" name="ID_98EF0EE3BD0548999CE698DFD5904591" descr="大碗姐头像"/>
        <xdr:cNvPicPr>
          <a:picLocks noChangeAspect="1"/>
        </xdr:cNvPicPr>
      </xdr:nvPicPr>
      <xdr:blipFill>
        <a:blip r:embed="rId188" r:link="rId2"/>
        <a:stretch>
          <a:fillRect/>
        </a:stretch>
      </xdr:blipFill>
      <xdr:spPr>
        <a:xfrm>
          <a:off x="934720" y="5715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7" name="ID_E4D182802A47458298E6F0461565D148" descr="麦小兜头像"/>
        <xdr:cNvPicPr>
          <a:picLocks noChangeAspect="1"/>
        </xdr:cNvPicPr>
      </xdr:nvPicPr>
      <xdr:blipFill>
        <a:blip r:embed="rId189" r:link="rId2"/>
        <a:stretch>
          <a:fillRect/>
        </a:stretch>
      </xdr:blipFill>
      <xdr:spPr>
        <a:xfrm>
          <a:off x="934720" y="36512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8" name="ID_4803E5F9424443B5967CDA7C33CD5D67" descr="杨和苏KeyNG头像"/>
        <xdr:cNvPicPr>
          <a:picLocks noChangeAspect="1"/>
        </xdr:cNvPicPr>
      </xdr:nvPicPr>
      <xdr:blipFill>
        <a:blip r:embed="rId190" r:link="rId2"/>
        <a:stretch>
          <a:fillRect/>
        </a:stretch>
      </xdr:blipFill>
      <xdr:spPr>
        <a:xfrm>
          <a:off x="934720" y="47307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9" name="ID_654CE2074224454884D7C4F04A1DB808"/>
        <xdr:cNvPicPr>
          <a:picLocks noChangeAspect="1"/>
        </xdr:cNvPicPr>
      </xdr:nvPicPr>
      <xdr:blipFill>
        <a:blip r:embed="rId191" r:link="rId2"/>
        <a:stretch>
          <a:fillRect/>
        </a:stretch>
      </xdr:blipFill>
      <xdr:spPr>
        <a:xfrm>
          <a:off x="1371600" y="15875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0" name="ID_13B7E4DB04D24FA7B0DCF78C29F469A4"/>
        <xdr:cNvPicPr>
          <a:picLocks noChangeAspect="1"/>
        </xdr:cNvPicPr>
      </xdr:nvPicPr>
      <xdr:blipFill>
        <a:blip r:embed="rId192" r:link="rId2"/>
        <a:stretch>
          <a:fillRect/>
        </a:stretch>
      </xdr:blipFill>
      <xdr:spPr>
        <a:xfrm>
          <a:off x="1266825" y="3810000"/>
          <a:ext cx="9744075" cy="97440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1" name="ID_31BDFBC9D72246ECAA6021AAAD17785C"/>
        <xdr:cNvPicPr>
          <a:picLocks noChangeAspect="1"/>
        </xdr:cNvPicPr>
      </xdr:nvPicPr>
      <xdr:blipFill>
        <a:blip r:embed="rId193" r:link="rId2"/>
        <a:stretch>
          <a:fillRect/>
        </a:stretch>
      </xdr:blipFill>
      <xdr:spPr>
        <a:xfrm>
          <a:off x="1371600" y="260350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2" name="ID_50033B3D41304000BA5BCCBE8CDA6F9D" descr="小雪日记（初夏版）头像"/>
        <xdr:cNvPicPr>
          <a:picLocks noChangeAspect="1"/>
        </xdr:cNvPicPr>
      </xdr:nvPicPr>
      <xdr:blipFill>
        <a:blip r:embed="rId194" r:link="rId2"/>
        <a:stretch>
          <a:fillRect/>
        </a:stretch>
      </xdr:blipFill>
      <xdr:spPr>
        <a:xfrm>
          <a:off x="934720" y="5784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" name="ID_BF520B8C00DB4018AAF498954CEEB6E7"/>
        <xdr:cNvPicPr>
          <a:picLocks noChangeAspect="1"/>
        </xdr:cNvPicPr>
      </xdr:nvPicPr>
      <xdr:blipFill>
        <a:blip r:embed="rId195"/>
        <a:stretch>
          <a:fillRect/>
        </a:stretch>
      </xdr:blipFill>
      <xdr:spPr>
        <a:xfrm>
          <a:off x="1285240" y="14986000"/>
          <a:ext cx="7124700" cy="712470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51" name="ID_C180EAF4349344B8B47021073FD519F3"/>
        <xdr:cNvPicPr>
          <a:picLocks noChangeAspect="1"/>
        </xdr:cNvPicPr>
      </xdr:nvPicPr>
      <xdr:blipFill>
        <a:blip r:embed="rId196" r:link="rId2"/>
        <a:stretch>
          <a:fillRect/>
        </a:stretch>
      </xdr:blipFill>
      <xdr:spPr>
        <a:xfrm>
          <a:off x="1371600" y="2095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6" name="ID_CD46B8401C7948BCBF2D9AF24FC3DD04"/>
        <xdr:cNvPicPr>
          <a:picLocks noChangeAspect="1"/>
        </xdr:cNvPicPr>
      </xdr:nvPicPr>
      <xdr:blipFill>
        <a:blip r:embed="rId197" r:link="rId2"/>
        <a:stretch>
          <a:fillRect/>
        </a:stretch>
      </xdr:blipFill>
      <xdr:spPr>
        <a:xfrm>
          <a:off x="352425" y="12827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5" name="ID_E3BD1E96CA0D4B378BED86B334AF6563" descr="李在溪·7BOY头像"/>
        <xdr:cNvPicPr>
          <a:picLocks noChangeAspect="1"/>
        </xdr:cNvPicPr>
      </xdr:nvPicPr>
      <xdr:blipFill>
        <a:blip r:embed="rId198" r:link="rId2"/>
        <a:stretch>
          <a:fillRect/>
        </a:stretch>
      </xdr:blipFill>
      <xdr:spPr>
        <a:xfrm>
          <a:off x="352425" y="2038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2" name="ID_09F1C858463649068DA213FFACF66789"/>
        <xdr:cNvPicPr>
          <a:picLocks noChangeAspect="1"/>
        </xdr:cNvPicPr>
      </xdr:nvPicPr>
      <xdr:blipFill>
        <a:blip r:embed="rId199" r:link="rId2"/>
        <a:stretch>
          <a:fillRect/>
        </a:stretch>
      </xdr:blipFill>
      <xdr:spPr>
        <a:xfrm>
          <a:off x="934720" y="13716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1" name="ID_5C07DC249D664D0DAC4CBF35D4432619" descr="TK科技测评头像"/>
        <xdr:cNvPicPr>
          <a:picLocks noChangeAspect="1"/>
        </xdr:cNvPicPr>
      </xdr:nvPicPr>
      <xdr:blipFill>
        <a:blip r:embed="rId200" r:link="rId2"/>
        <a:stretch>
          <a:fillRect/>
        </a:stretch>
      </xdr:blipFill>
      <xdr:spPr>
        <a:xfrm>
          <a:off x="1163320" y="889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8" name="ID_3BDCE9C73163449FA640B821CC7AD18E" descr="TK玩数码头像"/>
        <xdr:cNvPicPr>
          <a:picLocks noChangeAspect="1"/>
        </xdr:cNvPicPr>
      </xdr:nvPicPr>
      <xdr:blipFill>
        <a:blip r:embed="rId201" r:link="rId2"/>
        <a:stretch>
          <a:fillRect/>
        </a:stretch>
      </xdr:blipFill>
      <xdr:spPr>
        <a:xfrm>
          <a:off x="1163320" y="1244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3" name="ID_70F1F0FFC48B4E6CBAAB57AAD6082D8C" descr="vv头像"/>
        <xdr:cNvPicPr>
          <a:picLocks noChangeAspect="1"/>
        </xdr:cNvPicPr>
      </xdr:nvPicPr>
      <xdr:blipFill>
        <a:blip r:embed="rId202" r:link="rId2"/>
        <a:stretch>
          <a:fillRect/>
        </a:stretch>
      </xdr:blipFill>
      <xdr:spPr>
        <a:xfrm>
          <a:off x="934720" y="3054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0" name="ID_9313BA33A13741C3997400D039C6FB0D" descr="博仔i头像"/>
        <xdr:cNvPicPr>
          <a:picLocks noChangeAspect="1"/>
        </xdr:cNvPicPr>
      </xdr:nvPicPr>
      <xdr:blipFill>
        <a:blip r:embed="rId203" r:link="rId2"/>
        <a:stretch>
          <a:fillRect/>
        </a:stretch>
      </xdr:blipFill>
      <xdr:spPr>
        <a:xfrm>
          <a:off x="934720" y="990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1" name="ID_AEEC780DC1CA46EAAD088BBC47F54980" descr="一醒头像"/>
        <xdr:cNvPicPr>
          <a:picLocks noChangeAspect="1"/>
        </xdr:cNvPicPr>
      </xdr:nvPicPr>
      <xdr:blipFill>
        <a:blip r:embed="rId204" r:link="rId2"/>
        <a:stretch>
          <a:fillRect/>
        </a:stretch>
      </xdr:blipFill>
      <xdr:spPr>
        <a:xfrm>
          <a:off x="934720" y="3181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9" name="ID_0DC8C4949D3E409B87AEA9AB3791B26D" descr="Sheep羊崽头像"/>
        <xdr:cNvPicPr>
          <a:picLocks noChangeAspect="1"/>
        </xdr:cNvPicPr>
      </xdr:nvPicPr>
      <xdr:blipFill>
        <a:blip r:embed="rId205" r:link="rId2"/>
        <a:stretch>
          <a:fillRect/>
        </a:stretch>
      </xdr:blipFill>
      <xdr:spPr>
        <a:xfrm>
          <a:off x="1163320" y="2794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8" name="ID_3590528A77D7476FB7E6DFF756D262DE" descr="元贞爱亨利头像"/>
        <xdr:cNvPicPr>
          <a:picLocks noChangeAspect="1"/>
        </xdr:cNvPicPr>
      </xdr:nvPicPr>
      <xdr:blipFill>
        <a:blip r:embed="rId206" r:link="rId2"/>
        <a:stretch>
          <a:fillRect/>
        </a:stretch>
      </xdr:blipFill>
      <xdr:spPr>
        <a:xfrm>
          <a:off x="934720" y="5594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0" name="ID_B92A8BE17A1142A1A6DD0525CD4E59B4" descr="大佬甜Giovanna头像"/>
        <xdr:cNvPicPr>
          <a:picLocks noChangeAspect="1"/>
        </xdr:cNvPicPr>
      </xdr:nvPicPr>
      <xdr:blipFill>
        <a:blip r:embed="rId207" r:link="rId2"/>
        <a:stretch>
          <a:fillRect/>
        </a:stretch>
      </xdr:blipFill>
      <xdr:spPr>
        <a:xfrm>
          <a:off x="934720" y="2673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1" name="ID_7B85263DD4C34EB09E8EAAB6FD778BC0" descr="刘贺儿头像"/>
        <xdr:cNvPicPr>
          <a:picLocks noChangeAspect="1"/>
        </xdr:cNvPicPr>
      </xdr:nvPicPr>
      <xdr:blipFill>
        <a:blip r:embed="rId208" r:link="rId2"/>
        <a:stretch>
          <a:fillRect/>
        </a:stretch>
      </xdr:blipFill>
      <xdr:spPr>
        <a:xfrm>
          <a:off x="934720" y="5848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2" name="ID_3E277AB27A7E4DD7B9D5CFDBC903509B" descr="花千小骨⁸²¹🕌头像"/>
        <xdr:cNvPicPr>
          <a:picLocks noChangeAspect="1"/>
        </xdr:cNvPicPr>
      </xdr:nvPicPr>
      <xdr:blipFill>
        <a:blip r:embed="rId209" r:link="rId2"/>
        <a:stretch>
          <a:fillRect/>
        </a:stretch>
      </xdr:blipFill>
      <xdr:spPr>
        <a:xfrm>
          <a:off x="934720" y="6324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3" name="ID_6B6583973CE844BDB3AB41AFA4B1C82E" descr="宛庭头像"/>
        <xdr:cNvPicPr>
          <a:picLocks noChangeAspect="1"/>
        </xdr:cNvPicPr>
      </xdr:nvPicPr>
      <xdr:blipFill>
        <a:blip r:embed="rId210" r:link="rId2"/>
        <a:stretch>
          <a:fillRect/>
        </a:stretch>
      </xdr:blipFill>
      <xdr:spPr>
        <a:xfrm>
          <a:off x="934720" y="6388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4" name="ID_421C6605411A40B4BE082C7CB3D2A79E" descr="CAG女团头像"/>
        <xdr:cNvPicPr>
          <a:picLocks noChangeAspect="1"/>
        </xdr:cNvPicPr>
      </xdr:nvPicPr>
      <xdr:blipFill>
        <a:blip r:embed="rId211" r:link="rId2"/>
        <a:stretch>
          <a:fillRect/>
        </a:stretch>
      </xdr:blipFill>
      <xdr:spPr>
        <a:xfrm>
          <a:off x="934720" y="1752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5" name="ID_B284ADA6329E4ED1A300CD8D71344BAD" descr="徐十七嘛头像"/>
        <xdr:cNvPicPr>
          <a:picLocks noChangeAspect="1"/>
        </xdr:cNvPicPr>
      </xdr:nvPicPr>
      <xdr:blipFill>
        <a:blip r:embed="rId212" r:link="rId2"/>
        <a:stretch>
          <a:fillRect/>
        </a:stretch>
      </xdr:blipFill>
      <xdr:spPr>
        <a:xfrm>
          <a:off x="934720" y="292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3" name="ID_9E1E2148C84A47D99C534F3F58224D8C" descr="灏忓ぉ鎵嶐煪勨湪澶村儚"/>
        <xdr:cNvPicPr>
          <a:picLocks noChangeAspect="1"/>
        </xdr:cNvPicPr>
      </xdr:nvPicPr>
      <xdr:blipFill>
        <a:blip r:embed="rId213" r:link="rId2"/>
        <a:stretch>
          <a:fillRect/>
        </a:stretch>
      </xdr:blipFill>
      <xdr:spPr>
        <a:xfrm>
          <a:off x="352425" y="16827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4" name="ID_0D2371F7C1564FCCBC9A2780976F2A2F"/>
        <xdr:cNvPicPr>
          <a:picLocks noChangeAspect="1"/>
        </xdr:cNvPicPr>
      </xdr:nvPicPr>
      <xdr:blipFill>
        <a:blip r:embed="rId214" r:link="rId2"/>
        <a:stretch>
          <a:fillRect/>
        </a:stretch>
      </xdr:blipFill>
      <xdr:spPr>
        <a:xfrm>
          <a:off x="1371600" y="13906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6" name="ID_EC1AAC235172433B86CDEDC2691E72E2"/>
        <xdr:cNvPicPr>
          <a:picLocks noChangeAspect="1"/>
        </xdr:cNvPicPr>
      </xdr:nvPicPr>
      <xdr:blipFill>
        <a:blip r:embed="rId215" r:link="rId2"/>
        <a:stretch>
          <a:fillRect/>
        </a:stretch>
      </xdr:blipFill>
      <xdr:spPr>
        <a:xfrm>
          <a:off x="1371600" y="16446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7" name="ID_94D316B1999A441984C5D2BFC1BE6FF4"/>
        <xdr:cNvPicPr>
          <a:picLocks noChangeAspect="1"/>
        </xdr:cNvPicPr>
      </xdr:nvPicPr>
      <xdr:blipFill>
        <a:blip r:embed="rId216" r:link="rId2"/>
        <a:stretch>
          <a:fillRect/>
        </a:stretch>
      </xdr:blipFill>
      <xdr:spPr>
        <a:xfrm>
          <a:off x="1238250" y="18796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9" name="ID_98E9F40190D140AF8D418DA5B73C904E"/>
        <xdr:cNvPicPr>
          <a:picLocks noChangeAspect="1"/>
        </xdr:cNvPicPr>
      </xdr:nvPicPr>
      <xdr:blipFill>
        <a:blip r:embed="rId217" r:link="rId2"/>
        <a:stretch>
          <a:fillRect/>
        </a:stretch>
      </xdr:blipFill>
      <xdr:spPr>
        <a:xfrm>
          <a:off x="1162050" y="24511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5" name="ID_A1A5D79D24784993A8D9B3F666EA6192" descr="四月❤头像"/>
        <xdr:cNvPicPr>
          <a:picLocks noChangeAspect="1"/>
        </xdr:cNvPicPr>
      </xdr:nvPicPr>
      <xdr:blipFill>
        <a:blip r:embed="rId218" r:link="rId2"/>
        <a:stretch>
          <a:fillRect/>
        </a:stretch>
      </xdr:blipFill>
      <xdr:spPr>
        <a:xfrm>
          <a:off x="934720" y="1911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7" name="ID_FDC8BBE22A3C48C7BED29A4072716614" descr="歪老板在干嘛？头像"/>
        <xdr:cNvPicPr>
          <a:picLocks noChangeAspect="1"/>
        </xdr:cNvPicPr>
      </xdr:nvPicPr>
      <xdr:blipFill>
        <a:blip r:embed="rId219" r:link="rId2"/>
        <a:stretch>
          <a:fillRect/>
        </a:stretch>
      </xdr:blipFill>
      <xdr:spPr>
        <a:xfrm>
          <a:off x="353695" y="4451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1" name="ID_EFDCC538D76946D78B7EB98783933944"/>
        <xdr:cNvPicPr>
          <a:picLocks noChangeAspect="1"/>
        </xdr:cNvPicPr>
      </xdr:nvPicPr>
      <xdr:blipFill>
        <a:blip r:embed="rId220" r:link="rId2"/>
        <a:stretch>
          <a:fillRect/>
        </a:stretch>
      </xdr:blipFill>
      <xdr:spPr>
        <a:xfrm>
          <a:off x="352425" y="43815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6" name="ID_C600F1E9B9CF4B69911956C74DD8409F"/>
        <xdr:cNvPicPr>
          <a:picLocks noChangeAspect="1"/>
        </xdr:cNvPicPr>
      </xdr:nvPicPr>
      <xdr:blipFill>
        <a:blip r:embed="rId221" r:link="rId2"/>
        <a:stretch>
          <a:fillRect/>
        </a:stretch>
      </xdr:blipFill>
      <xdr:spPr>
        <a:xfrm>
          <a:off x="352425" y="4826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6" name="ID_183D2C17EBC3467F9F312E51A85A6350"/>
        <xdr:cNvPicPr>
          <a:picLocks noChangeAspect="1"/>
        </xdr:cNvPicPr>
      </xdr:nvPicPr>
      <xdr:blipFill>
        <a:blip r:embed="rId222" r:link="rId2"/>
        <a:stretch>
          <a:fillRect/>
        </a:stretch>
      </xdr:blipFill>
      <xdr:spPr>
        <a:xfrm>
          <a:off x="1162050" y="16954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4" name="ID_A6F025CCCD2A49668E318B310BB2E213"/>
        <xdr:cNvPicPr>
          <a:picLocks noChangeAspect="1"/>
        </xdr:cNvPicPr>
      </xdr:nvPicPr>
      <xdr:blipFill>
        <a:blip r:embed="rId223" r:link="rId2"/>
        <a:stretch>
          <a:fillRect/>
        </a:stretch>
      </xdr:blipFill>
      <xdr:spPr>
        <a:xfrm>
          <a:off x="934720" y="43878500"/>
          <a:ext cx="952500" cy="952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5" name="ID_ED6D7241C08D4B8081FD7E8F3FBC30D4"/>
        <xdr:cNvPicPr>
          <a:picLocks noChangeAspect="1"/>
        </xdr:cNvPicPr>
      </xdr:nvPicPr>
      <xdr:blipFill>
        <a:blip r:embed="rId224" r:link="rId2"/>
        <a:stretch>
          <a:fillRect/>
        </a:stretch>
      </xdr:blipFill>
      <xdr:spPr>
        <a:xfrm>
          <a:off x="1163320" y="1778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9" name="ID_1B287FA49F4D4C84ABAE18518A42102C" descr="朱铁雄片场日志头像"/>
        <xdr:cNvPicPr>
          <a:picLocks noChangeAspect="1"/>
        </xdr:cNvPicPr>
      </xdr:nvPicPr>
      <xdr:blipFill>
        <a:blip r:embed="rId225" r:link="rId2"/>
        <a:stretch>
          <a:fillRect/>
        </a:stretch>
      </xdr:blipFill>
      <xdr:spPr>
        <a:xfrm>
          <a:off x="934720" y="450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1" name="ID_CD0F50CCCD824C92AFDEBB40BF3807E8" descr="李里头像"/>
        <xdr:cNvPicPr>
          <a:picLocks noChangeAspect="1"/>
        </xdr:cNvPicPr>
      </xdr:nvPicPr>
      <xdr:blipFill>
        <a:blip r:embed="rId226" r:link="rId2"/>
        <a:stretch>
          <a:fillRect/>
        </a:stretch>
      </xdr:blipFill>
      <xdr:spPr>
        <a:xfrm>
          <a:off x="934720" y="4324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0" name="ID_9D4BCA200A3A4EB8A0D73854126E75BE"/>
        <xdr:cNvPicPr>
          <a:picLocks noChangeAspect="1"/>
        </xdr:cNvPicPr>
      </xdr:nvPicPr>
      <xdr:blipFill>
        <a:blip r:embed="rId227" r:link="rId2"/>
        <a:stretch>
          <a:fillRect/>
        </a:stretch>
      </xdr:blipFill>
      <xdr:spPr>
        <a:xfrm>
          <a:off x="1162050" y="8318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1" name="ID_612738D3F3D7428DA6E4E321C90CFF9C"/>
        <xdr:cNvPicPr>
          <a:picLocks noChangeAspect="1"/>
        </xdr:cNvPicPr>
      </xdr:nvPicPr>
      <xdr:blipFill>
        <a:blip r:embed="rId228" r:link="rId2"/>
        <a:stretch>
          <a:fillRect/>
        </a:stretch>
      </xdr:blipFill>
      <xdr:spPr>
        <a:xfrm>
          <a:off x="934720" y="584835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2" name="ID_CACEF98067B14CC18678F828EB22CA1B"/>
        <xdr:cNvPicPr>
          <a:picLocks noChangeAspect="1"/>
        </xdr:cNvPicPr>
      </xdr:nvPicPr>
      <xdr:blipFill>
        <a:blip r:embed="rId229" r:link="rId2"/>
        <a:stretch>
          <a:fillRect/>
        </a:stretch>
      </xdr:blipFill>
      <xdr:spPr>
        <a:xfrm>
          <a:off x="934720" y="65151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4" name="ID_1972622F78944F3B80240176D8C71F27"/>
        <xdr:cNvPicPr>
          <a:picLocks noChangeAspect="1"/>
        </xdr:cNvPicPr>
      </xdr:nvPicPr>
      <xdr:blipFill>
        <a:blip r:embed="rId230" r:link="rId2"/>
        <a:stretch>
          <a:fillRect/>
        </a:stretch>
      </xdr:blipFill>
      <xdr:spPr>
        <a:xfrm>
          <a:off x="352425" y="52705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3" name="ID_63090E4CF6604B89B983FCA4F74AF984" descr="朴素之道头像"/>
        <xdr:cNvPicPr>
          <a:picLocks noChangeAspect="1"/>
        </xdr:cNvPicPr>
      </xdr:nvPicPr>
      <xdr:blipFill>
        <a:blip r:embed="rId231" r:link="rId2"/>
        <a:stretch>
          <a:fillRect/>
        </a:stretch>
      </xdr:blipFill>
      <xdr:spPr>
        <a:xfrm>
          <a:off x="1163320" y="1143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4" name="ID_7C3D7E093E3A4B48A95896E13A102E73" descr="懂车老外（非遗学艺版）头像"/>
        <xdr:cNvPicPr>
          <a:picLocks noChangeAspect="1"/>
        </xdr:cNvPicPr>
      </xdr:nvPicPr>
      <xdr:blipFill>
        <a:blip r:embed="rId232" r:link="rId2"/>
        <a:stretch>
          <a:fillRect/>
        </a:stretch>
      </xdr:blipFill>
      <xdr:spPr>
        <a:xfrm>
          <a:off x="934720" y="1562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7" name="ID_C323F5BB57A04391AC291A22669EE708" descr="爱旅行的奶爸塔姆头像"/>
        <xdr:cNvPicPr>
          <a:picLocks noChangeAspect="1"/>
        </xdr:cNvPicPr>
      </xdr:nvPicPr>
      <xdr:blipFill>
        <a:blip r:embed="rId233" r:link="rId2"/>
        <a:stretch>
          <a:fillRect/>
        </a:stretch>
      </xdr:blipFill>
      <xdr:spPr>
        <a:xfrm>
          <a:off x="934720" y="1625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7" name="ID_32FCB513C4484BA09259FA7A453BEE58" descr="安吉AnJ头像"/>
        <xdr:cNvPicPr>
          <a:picLocks noChangeAspect="1"/>
        </xdr:cNvPicPr>
      </xdr:nvPicPr>
      <xdr:blipFill>
        <a:blip r:embed="rId234" r:link="rId2"/>
        <a:stretch>
          <a:fillRect/>
        </a:stretch>
      </xdr:blipFill>
      <xdr:spPr>
        <a:xfrm>
          <a:off x="934720" y="2609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3" name="ID_A901C43D8D0844FA863B63A9A0F6D4AF"/>
        <xdr:cNvPicPr>
          <a:picLocks noChangeAspect="1"/>
        </xdr:cNvPicPr>
      </xdr:nvPicPr>
      <xdr:blipFill>
        <a:blip r:embed="rId235" r:link="rId2"/>
        <a:stretch>
          <a:fillRect/>
        </a:stretch>
      </xdr:blipFill>
      <xdr:spPr>
        <a:xfrm>
          <a:off x="1162050" y="4445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" name="ID_2FDA320076F14743B85625DCA4F9F685" descr="厂长到处跑头像"/>
        <xdr:cNvPicPr>
          <a:picLocks noChangeAspect="1"/>
        </xdr:cNvPicPr>
      </xdr:nvPicPr>
      <xdr:blipFill>
        <a:blip r:embed="rId236" r:link="rId2"/>
        <a:stretch>
          <a:fillRect/>
        </a:stretch>
      </xdr:blipFill>
      <xdr:spPr>
        <a:xfrm>
          <a:off x="934720" y="1689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4" name="ID_91F2DC5D52E6496E824FA789F20CE7C3" descr="钂嬩竴浜筐煔桟AG澶村儚"/>
        <xdr:cNvPicPr>
          <a:picLocks noChangeAspect="1"/>
        </xdr:cNvPicPr>
      </xdr:nvPicPr>
      <xdr:blipFill>
        <a:blip r:embed="rId237" r:link="rId2"/>
        <a:stretch>
          <a:fillRect/>
        </a:stretch>
      </xdr:blipFill>
      <xdr:spPr>
        <a:xfrm>
          <a:off x="934720" y="1879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2" name="ID_1E53894226F0447CA4D62FA5B8BA1118" descr="娜扎分渣头像"/>
        <xdr:cNvPicPr>
          <a:picLocks noChangeAspect="1"/>
        </xdr:cNvPicPr>
      </xdr:nvPicPr>
      <xdr:blipFill>
        <a:blip r:embed="rId238" r:link="rId2"/>
        <a:stretch>
          <a:fillRect/>
        </a:stretch>
      </xdr:blipFill>
      <xdr:spPr>
        <a:xfrm>
          <a:off x="934720" y="4514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0" name="ID_35BFC68506EF43D0A564EDF289FF4152" descr="大圣爱跑步头像"/>
        <xdr:cNvPicPr>
          <a:picLocks noChangeAspect="1"/>
        </xdr:cNvPicPr>
      </xdr:nvPicPr>
      <xdr:blipFill>
        <a:blip r:embed="rId239" r:link="rId2"/>
        <a:stretch>
          <a:fillRect/>
        </a:stretch>
      </xdr:blipFill>
      <xdr:spPr>
        <a:xfrm>
          <a:off x="934720" y="5911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7" name="ID_5767A78C5061489A86E64A0AA201684F"/>
        <xdr:cNvPicPr>
          <a:picLocks noChangeAspect="1"/>
        </xdr:cNvPicPr>
      </xdr:nvPicPr>
      <xdr:blipFill>
        <a:blip r:embed="rId240" r:link="rId2"/>
        <a:stretch>
          <a:fillRect/>
        </a:stretch>
      </xdr:blipFill>
      <xdr:spPr>
        <a:xfrm>
          <a:off x="1162050" y="9842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9" name="ID_B035946A26694947AAF49A23361CF678" descr="活火山头像"/>
        <xdr:cNvPicPr>
          <a:picLocks noChangeAspect="1"/>
        </xdr:cNvPicPr>
      </xdr:nvPicPr>
      <xdr:blipFill>
        <a:blip r:embed="rId241" r:link="rId2"/>
        <a:stretch>
          <a:fillRect/>
        </a:stretch>
      </xdr:blipFill>
      <xdr:spPr>
        <a:xfrm>
          <a:off x="934720" y="1117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8" name="ID_55B6BCB2A7AF4C7DB743E98788BAC790" descr="朱朱朱头像"/>
        <xdr:cNvPicPr>
          <a:picLocks noChangeAspect="1"/>
        </xdr:cNvPicPr>
      </xdr:nvPicPr>
      <xdr:blipFill>
        <a:blip r:embed="rId242" r:link="rId2"/>
        <a:stretch>
          <a:fillRect/>
        </a:stretch>
      </xdr:blipFill>
      <xdr:spPr>
        <a:xfrm>
          <a:off x="352425" y="1714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6" name="ID_FB5A556B30DF49E09FF76CBE0B110A5E" descr="彦琳Lin头像"/>
        <xdr:cNvPicPr>
          <a:picLocks noChangeAspect="1"/>
        </xdr:cNvPicPr>
      </xdr:nvPicPr>
      <xdr:blipFill>
        <a:blip r:embed="rId243" r:link="rId2"/>
        <a:stretch>
          <a:fillRect/>
        </a:stretch>
      </xdr:blipFill>
      <xdr:spPr>
        <a:xfrm>
          <a:off x="934720" y="1117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1" name="ID_1B204D0DF25F4BA7A08167829A9F3C07"/>
        <xdr:cNvPicPr>
          <a:picLocks noChangeAspect="1"/>
        </xdr:cNvPicPr>
      </xdr:nvPicPr>
      <xdr:blipFill>
        <a:blip r:embed="rId244" r:link="rId2"/>
        <a:stretch>
          <a:fillRect/>
        </a:stretch>
      </xdr:blipFill>
      <xdr:spPr>
        <a:xfrm>
          <a:off x="1162050" y="24193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3" name="ID_9CCC04877E4E49F7946F3119072DDBCD"/>
        <xdr:cNvPicPr>
          <a:picLocks noChangeAspect="1"/>
        </xdr:cNvPicPr>
      </xdr:nvPicPr>
      <xdr:blipFill>
        <a:blip r:embed="rId245" r:link="rId2"/>
        <a:stretch>
          <a:fillRect/>
        </a:stretch>
      </xdr:blipFill>
      <xdr:spPr>
        <a:xfrm>
          <a:off x="1266825" y="10922000"/>
          <a:ext cx="2476500" cy="2476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7" name="ID_620D9C3282B04B5FA66BA776BA516595" descr="杰之爱ing头像"/>
        <xdr:cNvPicPr>
          <a:picLocks noChangeAspect="1"/>
        </xdr:cNvPicPr>
      </xdr:nvPicPr>
      <xdr:blipFill>
        <a:blip r:embed="rId246" r:link="rId2"/>
        <a:stretch>
          <a:fillRect/>
        </a:stretch>
      </xdr:blipFill>
      <xdr:spPr>
        <a:xfrm>
          <a:off x="934720" y="5149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5" name="ID_3E180515AB144A13AC6A0CFDD9779ECC" descr="吕飞头像"/>
        <xdr:cNvPicPr>
          <a:picLocks noChangeAspect="1"/>
        </xdr:cNvPicPr>
      </xdr:nvPicPr>
      <xdr:blipFill>
        <a:blip r:embed="rId247" r:link="rId2"/>
        <a:stretch>
          <a:fillRect/>
        </a:stretch>
      </xdr:blipFill>
      <xdr:spPr>
        <a:xfrm>
          <a:off x="934720" y="5911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" name="ID_9EBBD8CC8EE44FD4B15903551B9EDA63" descr="极速双子头像"/>
        <xdr:cNvPicPr>
          <a:picLocks noChangeAspect="1"/>
        </xdr:cNvPicPr>
      </xdr:nvPicPr>
      <xdr:blipFill>
        <a:blip r:embed="rId248" r:link="rId2"/>
        <a:stretch>
          <a:fillRect/>
        </a:stretch>
      </xdr:blipFill>
      <xdr:spPr>
        <a:xfrm>
          <a:off x="934720" y="1943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" name="ID_659725E2044440AC98B018E5EF985A4F" descr="壶提提头像"/>
        <xdr:cNvPicPr>
          <a:picLocks noChangeAspect="1"/>
        </xdr:cNvPicPr>
      </xdr:nvPicPr>
      <xdr:blipFill>
        <a:blip r:embed="rId249" r:link="rId2"/>
        <a:stretch>
          <a:fillRect/>
        </a:stretch>
      </xdr:blipFill>
      <xdr:spPr>
        <a:xfrm>
          <a:off x="934720" y="14668500"/>
          <a:ext cx="2600325" cy="260032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0" name="ID_8565464ED9FB4C05BB0779C94622A42F"/>
        <xdr:cNvPicPr>
          <a:picLocks noChangeAspect="1"/>
        </xdr:cNvPicPr>
      </xdr:nvPicPr>
      <xdr:blipFill>
        <a:blip r:embed="rId250" r:link="rId2"/>
        <a:stretch>
          <a:fillRect/>
        </a:stretch>
      </xdr:blipFill>
      <xdr:spPr>
        <a:xfrm>
          <a:off x="1162050" y="9525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7" name="ID_5E4F5F81837741C6A1580970EA59ABBC" descr="给我一个镜头V头像"/>
        <xdr:cNvPicPr>
          <a:picLocks noChangeAspect="1"/>
        </xdr:cNvPicPr>
      </xdr:nvPicPr>
      <xdr:blipFill>
        <a:blip r:embed="rId251" r:link="rId2"/>
        <a:stretch>
          <a:fillRect/>
        </a:stretch>
      </xdr:blipFill>
      <xdr:spPr>
        <a:xfrm>
          <a:off x="934720" y="219583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0" name="ID_17D25C6E6AFC4B4DA27059925412E18A" descr="楣块噷鐪熻寳馃澶村儚"/>
        <xdr:cNvPicPr>
          <a:picLocks noChangeAspect="1"/>
        </xdr:cNvPicPr>
      </xdr:nvPicPr>
      <xdr:blipFill>
        <a:blip r:embed="rId252" r:link="rId2"/>
        <a:stretch>
          <a:fillRect/>
        </a:stretch>
      </xdr:blipFill>
      <xdr:spPr>
        <a:xfrm>
          <a:off x="934720" y="333883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3" name="ID_DB104517492341D4A6C5AADD6201F2CC" descr="黄星桥头像"/>
        <xdr:cNvPicPr>
          <a:picLocks noChangeAspect="1"/>
        </xdr:cNvPicPr>
      </xdr:nvPicPr>
      <xdr:blipFill>
        <a:blip r:embed="rId253" r:link="rId2"/>
        <a:stretch>
          <a:fillRect/>
        </a:stretch>
      </xdr:blipFill>
      <xdr:spPr>
        <a:xfrm>
          <a:off x="934720" y="657733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9" name="ID_BF95F8059F5643C4B210BE2FB3FC7D2A"/>
        <xdr:cNvPicPr>
          <a:picLocks noChangeAspect="1"/>
        </xdr:cNvPicPr>
      </xdr:nvPicPr>
      <xdr:blipFill>
        <a:blip r:embed="rId254" r:link="rId2"/>
        <a:stretch>
          <a:fillRect/>
        </a:stretch>
      </xdr:blipFill>
      <xdr:spPr>
        <a:xfrm>
          <a:off x="1162050" y="151130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" name="ID_85C4102039844E04A2AC7A5F27147A90" descr="一航头像"/>
        <xdr:cNvPicPr>
          <a:picLocks noChangeAspect="1"/>
        </xdr:cNvPicPr>
      </xdr:nvPicPr>
      <xdr:blipFill>
        <a:blip r:embed="rId255" r:link="rId2"/>
        <a:stretch>
          <a:fillRect/>
        </a:stretch>
      </xdr:blipFill>
      <xdr:spPr>
        <a:xfrm>
          <a:off x="352425" y="127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6" name="ID_1AE4F552246F4E53BD1D89BC89F9A63E" descr="温在源Aikey头像"/>
        <xdr:cNvPicPr>
          <a:picLocks noChangeAspect="1"/>
        </xdr:cNvPicPr>
      </xdr:nvPicPr>
      <xdr:blipFill>
        <a:blip r:embed="rId256" r:link="rId2"/>
        <a:stretch>
          <a:fillRect/>
        </a:stretch>
      </xdr:blipFill>
      <xdr:spPr>
        <a:xfrm>
          <a:off x="352425" y="11049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1" name="ID_5ABB8D3EA41A460A974A5D234EE2C2F8" descr="葡头像"/>
        <xdr:cNvPicPr>
          <a:picLocks noChangeAspect="1"/>
        </xdr:cNvPicPr>
      </xdr:nvPicPr>
      <xdr:blipFill>
        <a:blip r:embed="rId257" r:link="rId2"/>
        <a:stretch>
          <a:fillRect/>
        </a:stretch>
      </xdr:blipFill>
      <xdr:spPr>
        <a:xfrm>
          <a:off x="352425" y="1371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2" name="ID_D14B63E281A8495D87B7770FA7472B19"/>
        <xdr:cNvPicPr>
          <a:picLocks noChangeAspect="1"/>
        </xdr:cNvPicPr>
      </xdr:nvPicPr>
      <xdr:blipFill>
        <a:blip r:embed="rId258" r:link="rId2"/>
        <a:stretch>
          <a:fillRect/>
        </a:stretch>
      </xdr:blipFill>
      <xdr:spPr>
        <a:xfrm>
          <a:off x="1162050" y="4635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5" name="ID_F8CCD902B84F41B2811EBD1982EFEAAB"/>
        <xdr:cNvPicPr>
          <a:picLocks noChangeAspect="1"/>
        </xdr:cNvPicPr>
      </xdr:nvPicPr>
      <xdr:blipFill>
        <a:blip r:embed="rId259" r:link="rId2"/>
        <a:stretch>
          <a:fillRect/>
        </a:stretch>
      </xdr:blipFill>
      <xdr:spPr>
        <a:xfrm>
          <a:off x="1162050" y="12573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0" name="ID_B7B6362E77F24216A24BC824D61B0BF4" descr="妖孽夫人头像"/>
        <xdr:cNvPicPr>
          <a:picLocks noChangeAspect="1"/>
        </xdr:cNvPicPr>
      </xdr:nvPicPr>
      <xdr:blipFill>
        <a:blip r:embed="rId260" r:link="rId2"/>
        <a:stretch>
          <a:fillRect/>
        </a:stretch>
      </xdr:blipFill>
      <xdr:spPr>
        <a:xfrm>
          <a:off x="934720" y="168783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2" name="ID_ED073BEACC4B4289BE7B1955B90F4F9B" descr="春妮头像"/>
        <xdr:cNvPicPr>
          <a:picLocks noChangeAspect="1"/>
        </xdr:cNvPicPr>
      </xdr:nvPicPr>
      <xdr:blipFill>
        <a:blip r:embed="rId261" r:link="rId2"/>
        <a:stretch>
          <a:fillRect/>
        </a:stretch>
      </xdr:blipFill>
      <xdr:spPr>
        <a:xfrm>
          <a:off x="934720" y="736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3" name="ID_9F4621F6D66A46568A4D563A930517A3" descr="彩虹和格格头像"/>
        <xdr:cNvPicPr>
          <a:picLocks noChangeAspect="1"/>
        </xdr:cNvPicPr>
      </xdr:nvPicPr>
      <xdr:blipFill>
        <a:blip r:embed="rId262" r:link="rId2"/>
        <a:stretch>
          <a:fillRect/>
        </a:stretch>
      </xdr:blipFill>
      <xdr:spPr>
        <a:xfrm>
          <a:off x="934720" y="648208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2" name="ID_3E605099F5B3446CB027C7856E46BAA7" descr="川剧·吴菁菁⁵²⁷⁷👑不是泄密当事人头像"/>
        <xdr:cNvPicPr>
          <a:picLocks noChangeAspect="1"/>
        </xdr:cNvPicPr>
      </xdr:nvPicPr>
      <xdr:blipFill>
        <a:blip r:embed="rId263" r:link="rId2"/>
        <a:stretch>
          <a:fillRect/>
        </a:stretch>
      </xdr:blipFill>
      <xdr:spPr>
        <a:xfrm>
          <a:off x="352425" y="927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1" name="ID_1459E60758F34FD9B5251A2D0C815B01"/>
        <xdr:cNvPicPr>
          <a:picLocks noChangeAspect="1"/>
        </xdr:cNvPicPr>
      </xdr:nvPicPr>
      <xdr:blipFill>
        <a:blip r:embed="rId264"/>
        <a:stretch>
          <a:fillRect/>
        </a:stretch>
      </xdr:blipFill>
      <xdr:spPr>
        <a:xfrm>
          <a:off x="1285240" y="8890000"/>
          <a:ext cx="7124700" cy="712470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138" name="ID_BBF7812EE29A4163B6F87775E18655EE" descr="奶爸Kyle懂科技头像"/>
        <xdr:cNvPicPr>
          <a:picLocks noChangeAspect="1"/>
        </xdr:cNvPicPr>
      </xdr:nvPicPr>
      <xdr:blipFill>
        <a:blip r:embed="rId265" r:link="rId2"/>
        <a:stretch>
          <a:fillRect/>
        </a:stretch>
      </xdr:blipFill>
      <xdr:spPr>
        <a:xfrm>
          <a:off x="934720" y="24180800"/>
          <a:ext cx="2857500" cy="2857500"/>
        </a:xfrm>
        <a:prstGeom prst="ellipse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<sst xmlns="http://schemas.openxmlformats.org/spreadsheetml/2006/main" count="2787" uniqueCount="1834">
  <si>
    <t>成都OST传媒——2026年2月刊例</t>
  </si>
  <si>
    <t>报价会根据市场状况以及达人热度有所浮动，请及时与我们联系确认最新价格
最终报价的解释权归成都潮我看文化传媒有限公司所有
商务合作微信：OSTSW009（欢迎来撩）</t>
  </si>
  <si>
    <t>合 作 流 程</t>
  </si>
  <si>
    <t>1. 合作前沟通，确定产品类型、合作账号、视频要求、发布时间等问题；
2. 客户在星图下单（https://star.toutiao.com）；
3. 我方在星图接单；
4. 脚本撰写（至多三次修改权限)，脚本一经确认不接受补拍；
5. 视频摄像及后期剪辑；
6. 样片确认(至多三次修改权限)；
7. 确认发布时间，视频上线；
8. 二次授权细节详谈；
9. 购物车链接：具体项目具体报价。可提供销量数据，不保证链接保留时长。</t>
  </si>
  <si>
    <t>合 作 说 明</t>
  </si>
  <si>
    <t>1. 请以当月刊例价格为准，此表仅作参考，请合作前询价，以根据活动内容确认最终执行价。
2. 微商、医美整形、三无产品等推广不接。
3. 我们承包：优质脚本内容创作、拍摄、制作、后期、IP发布、流量监控。
4. 线下活动报价不含差旅费，如有出差需求，则需承担相关人员差旅费。
5. 具体打包合作可详谈（如多平台打包、单平台+活动出席打包等。）
6. 星图报价均不含星图服务费，星图服务费为5%
7. 所订价格均不含税，具体税点，提前咨询。
8. 所有订单创作的原创内容版权均属我司所有；如无我司授权，擅自发布于其他平台，我司将追究其法律责任。</t>
  </si>
  <si>
    <t>【OST传媒】抖音达人报价</t>
  </si>
  <si>
    <t>序号</t>
  </si>
  <si>
    <t>推荐度</t>
  </si>
  <si>
    <t>头像</t>
  </si>
  <si>
    <t>达人名称</t>
  </si>
  <si>
    <t>推荐理由</t>
  </si>
  <si>
    <t>达人ID</t>
  </si>
  <si>
    <t>账号标签</t>
  </si>
  <si>
    <t>抖音主页链接</t>
  </si>
  <si>
    <t>星图主页链接</t>
  </si>
  <si>
    <t>星图ID</t>
  </si>
  <si>
    <t>粉丝量</t>
  </si>
  <si>
    <t>CPM</t>
  </si>
  <si>
    <t>CPE</t>
  </si>
  <si>
    <t>星图价格
（1-20s）</t>
  </si>
  <si>
    <t>星图价格
（21-60s）</t>
  </si>
  <si>
    <t>星图价格
（60s+）</t>
  </si>
  <si>
    <t>短直一体</t>
  </si>
  <si>
    <t>分发平台</t>
  </si>
  <si>
    <t>线上直播
(1h以内)</t>
  </si>
  <si>
    <t>观众男女占比</t>
  </si>
  <si>
    <t>观众年龄前三占比</t>
  </si>
  <si>
    <t>观众八大人群</t>
  </si>
  <si>
    <t>合作品牌</t>
  </si>
  <si>
    <t>地区</t>
  </si>
  <si>
    <t>【非遗/创意】</t>
  </si>
  <si>
    <t>朱铁雄</t>
  </si>
  <si>
    <t>以“国风魔法少年”定位破圈，通过高燃特效将武术、戏曲等非遗元素与现代科技结合，打造沉浸式变装体验。受众以年轻的Z世代为主，强视觉冲击力可提升品牌形象。</t>
  </si>
  <si>
    <t>TVC 剧情 特效 变装</t>
  </si>
  <si>
    <t>https://v.douyin.com/N59HuqG/</t>
  </si>
  <si>
    <t>https://www.xingtu.cn/ad/creator/author-homepage/douyin-video/7078614603908317197?market_track_id=1YSRQNKR4S0KIKU5Y91R&amp;search_session_id=7506416249376358439&amp;video_type=2&amp;_route_from=from_page%3DMarket%26search_session_id%3D7506416249376358439%26is_for_order%3D1%26market_track_id%3D1YSRQNKR4S0KIKU5Y91R%26platform_source%3D1%26key%3D%25E6%259C%25B1%25E9%2593%2581%25E9%259B%2584%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</si>
  <si>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7078614603908317197</t>
  </si>
  <si>
    <t>500000（加收）</t>
  </si>
  <si>
    <t>视频号分发：40w       快手分发：40w         B站分发：40w         小红书分发：20W</t>
  </si>
  <si>
    <t>/</t>
  </si>
  <si>
    <t>男：61%
女：39%</t>
  </si>
  <si>
    <t>18-23：21.6%
24-30：28.3%
31-40：34.4%</t>
  </si>
  <si>
    <t>Z世代：21.8%
新锐白领：12.5%
小镇青年：27.4%
精致妈妈：3.9%
资深中产：2.9%
都市蓝领：20.9%
小镇中老年：5.9%
都市银发：4.6%</t>
  </si>
  <si>
    <t>五菱，IQOO，方太、梦幻西游、小米、伊利、三国杀、OPPO、铜师傅、荣耀、智己、第五人格、华帝</t>
  </si>
  <si>
    <t>成都</t>
  </si>
  <si>
    <t>朱铁雄片场日志</t>
  </si>
  <si>
    <t>揭秘国风变装天花板的幕后。聚焦百万级特效制作、非遗技艺融合等创作细节，展现团队极致匠心。依托主账号粉丝影响力，粉丝粘性强，适配国货、文创、文旅等品类，深度传递品牌价值。</t>
  </si>
  <si>
    <t>剧情、日常</t>
  </si>
  <si>
    <t>https://v.douyin.com/P9i7l467NEs/</t>
  </si>
  <si>
    <t>https://www.xingtu.cn/ad/creator/author-homepage/douyin-video/7568817054545412146?market_track_id=98IZH98452SRN4JC5R92&amp;search_session_id=7569069326943715391&amp;possessStarId</t>
  </si>
  <si>
    <t>7568817054545412146</t>
  </si>
  <si>
    <t>男：55%
女：45%</t>
  </si>
  <si>
    <t>18-23：20%
24-30：30%
31-40：35%</t>
  </si>
  <si>
    <t>Z世代：21%
新锐白领：16.5%
小镇青年：23%
精致妈妈：6.5%
资深中产：4%
都市蓝领：19%
小镇中老年：4.5%
都市银发：3%</t>
  </si>
  <si>
    <t>【创意广告】</t>
  </si>
  <si>
    <t>TVC
创意</t>
  </si>
  <si>
    <t>壶提提</t>
  </si>
  <si>
    <t>传统文化领域头部达人，凭“爆米花变装”引爆25亿+话题播放。深耕复古港风与新中式美学，镜头兼具氛围感与文化质感，获刘德华关注、文化部“非遗星推官”认证。粉丝以31-40岁群体为主，消费潜力强，适配美妆、服饰、文旅、非遗等多元品牌合作。</t>
  </si>
  <si>
    <t>htt_55555</t>
  </si>
  <si>
    <t>创意TVC、传统文化</t>
  </si>
  <si>
    <t>https://v.douyin.com/9sgmrPxyfp8/</t>
  </si>
  <si>
    <t>https://www.xingtu.cn/ad/creator/author-homepage/douyin-video/6845057970179407879?market_track_id=E4Y19KVH1MWTEGLI5F2L&amp;search_session_id=7586573267851608070&amp;possessStarId</t>
  </si>
  <si>
    <t>6845057970179407879</t>
  </si>
  <si>
    <t>视频号 快手</t>
  </si>
  <si>
    <t>男：47.1%
女：52.9%</t>
  </si>
  <si>
    <t>18-23：33.2%
24-30：31.8%
31-40：23.3%</t>
  </si>
  <si>
    <t>Z世代：24%
新锐白领：15.9%
小镇青年：25.2%
精致妈妈：7%
资深中产：3%
都市蓝领：17.3%
小镇中老年：4.5%
都市银发：3.1%</t>
  </si>
  <si>
    <t>小鹏、科颜氏、金典、伊利、雪碧、舒肤佳</t>
  </si>
  <si>
    <t>西瓜奇幻工厂</t>
  </si>
  <si>
    <t>专注高端品牌视觉营销，合作案例覆盖多个知名头部客户。擅长用科幻场景呈现产品核心功能（如汽车悬浮驾驶、家电未来感体验），适配汽车、家电、奢侈品等高客单价品类，提升品牌科技调性。</t>
  </si>
  <si>
    <t>bksyshow</t>
  </si>
  <si>
    <t>创意TVC</t>
  </si>
  <si>
    <t>https://v.douyin.com/iy5xpGEA/</t>
  </si>
  <si>
    <t>https://www.xingtu.cn/ad/creator/author-homepage/douyin-video/6746573383141425164?market_track_id=IQF8MKDF0SBPY8SY7L1R&amp;search_session_id=7506414821974310953&amp;video_type=2&amp;_route_from=from_page%3DMarket%26search_session_id%3D7506414821974310953%26is_for_order%3D1%26market_track_id%3DIQF8MKDF0SBPY8SY7L1R%26platform_source%3D1%26key%3D%25E8%25A5%25BF%25E7%2593%259C%25E5%25A5%2587%25E5%25B9%25BB%25E5%25B7%25A5%25E5%258E%2582%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</si>
  <si>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6746573383141425164</t>
  </si>
  <si>
    <t>男：67.1%
女：32.9%</t>
  </si>
  <si>
    <t>18-23：23.3%
31-40：30.8%
41-50：28.1%</t>
  </si>
  <si>
    <t>Z世代：14.9%
新锐白领：32.8%
小镇青年：16.7%
精致妈妈：6%
资深中产：4.8%
都市蓝领：12.2%
小镇中老年：6.3%
都市银发：6.2%</t>
  </si>
  <si>
    <t>零跑、阿维塔、红旗、岚图、华为</t>
  </si>
  <si>
    <t>阿财没饭吃</t>
  </si>
  <si>
    <t>深耕创意美食TVC赛道，镜头细腻有层次，烟火气锅气镜头拉满，反手持铲特写+做菜全流程运镜极具辨识度。主打低预算创意家常菜，把百元硬菜、快手菜拍出质感大片，粉丝粘性高，集均互动亮眼，适配各类品牌创意合作。</t>
  </si>
  <si>
    <t>CDBykx218078</t>
  </si>
  <si>
    <t>创意TVC、美食</t>
  </si>
  <si>
    <t>https://v.douyin.com/ijRaTmKu/</t>
  </si>
  <si>
    <t>https://www.xingtu.cn/ad/creator/author-homepage/douyin-video/7164610130468667422?market_track_id=UDUYNLMS4L8IX6O5Q35O&amp;search_session_id=7587244361512747027&amp;possessStarId</t>
  </si>
  <si>
    <t>7164610130468667422</t>
  </si>
  <si>
    <t>男：3%
女：97%</t>
  </si>
  <si>
    <t>18-23：48.4%
24-30：28%
31-40：21%</t>
  </si>
  <si>
    <t>Z世代：35.5%
新锐白领：12.1%
小镇青年：32.1%
精致妈妈：9.2%
资深中产：1.2%
都市蓝领：9.2%
小镇中老年：0.6%
都市银发：0.2%</t>
  </si>
  <si>
    <t>云鲸、自由点、美的、诚实一口、伊利、科沃斯、古茗、松下、九阳、六神、舒肤佳、美团</t>
  </si>
  <si>
    <t>【明星/音乐】</t>
  </si>
  <si>
    <t>明星
歌手</t>
  </si>
  <si>
    <t>杨和苏KeyNG</t>
  </si>
  <si>
    <t>毕业于美国加州大学洛杉矶分校，中国内地硬核说唱领域的代表人物之一。2019年以极具爆发力的现场表现斩获《中国新说唱》总冠军。其作品兼具叙事深度与硬核冲击力，《王位》《小丑女》《大反派》等曲目广受说唱爱好者喜爱，展现了强劲的创作与舞台实力。作为兼具学术背景与音乐才华的全能型歌手，以独特的Flow和深刻的歌词内容，持续推动中文说唱的创新与突破。</t>
  </si>
  <si>
    <t>日常、音乐</t>
  </si>
  <si>
    <t>https://v.douyin.com/em3sFvS6LMA/</t>
  </si>
  <si>
    <t>https://www.xingtu.cn/ad/creator/author-homepage/douyin-video/6870112225344880653?market_track_id=MR61YKQACBEHR44TKR7E&amp;search_session_id=7533159252346241078&amp;possessStarId</t>
  </si>
  <si>
    <t>6870112225344880653</t>
  </si>
  <si>
    <t>男：65.3%
女：34.7%</t>
  </si>
  <si>
    <t>18-23：60.3%
24-30：23.7%
31-40：8.6%</t>
  </si>
  <si>
    <t>Z世代：49.3%
新锐白领：13.9%
小镇青年：21.7%
精致妈妈：1.1%
资深中产：1.1%
都市蓝领：10.8%
小镇中老年：1.1%
都市银发：1%</t>
  </si>
  <si>
    <t>客户
必选</t>
  </si>
  <si>
    <t>大碗姐</t>
  </si>
  <si>
    <t>凭借对说唱的兴趣，在整理家务等场合结合自己独特的唱歌方式引起粉丝的关注。作品既可以结合社会生活的素材独创，也可以对其他歌曲进行翻唱改编。可以多场景植入各类产品。</t>
  </si>
  <si>
    <t>音乐、日常</t>
  </si>
  <si>
    <t>https://v.douyin.com/Y_T6k4YZ1jA/</t>
  </si>
  <si>
    <t>https://www.xingtu.cn/ad/creator/author-homepage/douyin-video/7212165981076979770?market_track_id=C1YWJOJOH7GWYM2BJIBX&amp;search_session_id=7532374389598191658&amp;possessStarId</t>
  </si>
  <si>
    <t>7212165981076979770</t>
  </si>
  <si>
    <t>B站 快手 视频号</t>
  </si>
  <si>
    <t>男 ：16.1%
女 ：83.9%</t>
  </si>
  <si>
    <t>18-23：9.5%
24-30：31.2%
31-40：52.1%</t>
  </si>
  <si>
    <t>Z世代：5.9%
新锐白领：21.4%
小镇青年：23.4%
精致妈妈：24.8%
资深中产：8%
都市蓝领：12%
小镇中老年：3.3%
都市银发：1.1%</t>
  </si>
  <si>
    <t>京东超市、广汽埃安、劲仔、红米、BABI、蒙牛、露得清、北京现代、懂车帝</t>
  </si>
  <si>
    <t>明星
爱豆</t>
  </si>
  <si>
    <t>徐十七嘛</t>
  </si>
  <si>
    <t>原 SNH48 成员徐诗琪，坐拥超 200 万粉丝。因 cos 阿卡丽走红，兼具颜值与才艺。内容涵盖生活分享、COSPLAY，影响力大</t>
  </si>
  <si>
    <t>日常、颜值</t>
  </si>
  <si>
    <t>https://v.douyin.com/_lMUnKhZ_vE/</t>
  </si>
  <si>
    <t>https://www.xingtu.cn/ad/creator/author-homepage/douyin-video/6834011991800021005?market_track_id=SR3ZC29RTTZ0ZEBUVE23&amp;search_session_id=7506425026557263911&amp;video_type=2&amp;_route_from=from_page%3DMarket%26search_session_id%3D7506425026557263911%26is_for_order%3D1%26market_track_id%3DSR3ZC29RTTZ0ZEBUVE23%26platform_source%3D1%26key%3D%25E5%25BE%2590%25E5%258D%2581%25E4%25B8%2583%25E5%2598%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</si>
  <si>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6834011991800021005</t>
  </si>
  <si>
    <t>男：82.8%
女：17.2%</t>
  </si>
  <si>
    <t>18-23：40.5%
24-30：31.1%
31-40：20.1%</t>
  </si>
  <si>
    <t>Z世代：30.4%
新锐白领：19.7%
小镇青年：23.3%
精致妈妈：1.3%
资深中产：2.1%
都市蓝领：18.9%
小镇中老年：2.2%
都市银发：1.9%</t>
  </si>
  <si>
    <t>茶π、劲酒、优酸乳、美团、阿维塔、马爹利、华为、百事可乐、深蓝、东本</t>
  </si>
  <si>
    <t>新晋
账号</t>
  </si>
  <si>
    <t>春妮</t>
  </si>
  <si>
    <t>北京电视台主任播音员、金话筒奖得主，深耕主持界20余年，曾主持多届北京卫视春晚及《春妮的周末时光》等王牌节目。抖音账号聚焦生活好物严选、文化分享与温情日常，凭借端庄亲和的气质、专业公信力积累海量粉丝。内容兼具质感与烟火气，商业合作适配家居生活、文旅消费、品质好物等多元场景，转化力强劲。</t>
  </si>
  <si>
    <t>主持、日常</t>
  </si>
  <si>
    <t>https://v.douyin.com/cCHj7dKTG10/</t>
  </si>
  <si>
    <t>https://www.xingtu.cn/ad/creator/author-homepage/douyin-video/6870166394432913422?market_track_id=7LU66Y0MMMAC8P83FUP9&amp;search_session_id=7597722017286488118&amp;possessStarId</t>
  </si>
  <si>
    <t>6870166394432913422</t>
  </si>
  <si>
    <t>男 ：50.9%
女 ：49.1%</t>
  </si>
  <si>
    <t>31-40：29.8%
41-50：20.1%
50+：33.3%</t>
  </si>
  <si>
    <t>Z世代：3.5%
新锐白领：14%
小镇青年：9.9%
精致妈妈：7.1%
资深中产：12.5%
都市蓝领：7.5%
小镇中老年：14.5%
都市银发：31.1%</t>
  </si>
  <si>
    <t>英仕派</t>
  </si>
  <si>
    <t>北京</t>
  </si>
  <si>
    <t>【演员】</t>
  </si>
  <si>
    <t>短剧
明星</t>
  </si>
  <si>
    <t>一航（演员版）</t>
  </si>
  <si>
    <t>红果S+级别男主，凭借《不能相爱的我们》等多部爆款短剧走红，荣获“年度微短剧观众喜爱演员”奖。他演技精湛，能轻松驾驭多种角色，无论是霸道总裁还是病娇男主都演绎得淋漓尽致。与李施嬅等知名演员合作，影响力十足，是品牌合作的优质之选。</t>
  </si>
  <si>
    <t>yihang1124</t>
  </si>
  <si>
    <t>https://v.douyin.com/NYLfLoo/</t>
  </si>
  <si>
    <t>https://www.xingtu.cn/ad/creator/author-homepage/douyin-video/6800827006318542862?market_track_id=WGDIPUY8NR4CR015XCAO&amp;search_session_id=7550217227611275305&amp;possessStarId</t>
  </si>
  <si>
    <t>6800827006318542862</t>
  </si>
  <si>
    <t>视频号 小红书</t>
  </si>
  <si>
    <t>定制单集短剧13万</t>
  </si>
  <si>
    <t>男：12.5%
女：87.5%</t>
  </si>
  <si>
    <t>18-23：25.3%
24-30：30.2%
31-40：35%</t>
  </si>
  <si>
    <t>Z世代：20.4%
新锐白领：14.3%
小镇青年：25.1%
精致妈妈：13.5%
资深中产：4.5%
都市蓝领：16.6%
小镇中老年：3.6%
都市银发：2.1%</t>
  </si>
  <si>
    <t>瑞幸咖啡、DR、adidas、安慕希、奇瑞、菜鸟驿站、喜力、劲霸男装、捷达、九牧王、安踏</t>
  </si>
  <si>
    <t>朱朱朱</t>
  </si>
  <si>
    <t>新锐短剧演员，高挑清甜兼具亲和力，笑带小虎牙极具记忆点。深耕短剧赛道，主演《雾色靡靡》《现代小恋人》等十余部作品，精准拿捏虐恋救赎、甜宠成长等题材，哭戏共情力强，颜值演技双在线，适配古今各类造型，是当下短剧市场高适配性实力派小花。</t>
  </si>
  <si>
    <t>日常、剧情</t>
  </si>
  <si>
    <t>https://v.douyin.com/mQXUpIr3xO0/</t>
  </si>
  <si>
    <t>https://www.xingtu.cn/ad/creator/author-homepage/douyin-video/7353512627252920346?market_track_id=F644SGRAKU4KVG6NFBUU&amp;search_session_id=7579571893079212038&amp;possessStarId</t>
  </si>
  <si>
    <t>7353512627252920346</t>
  </si>
  <si>
    <t>OKCS发膜、foreverkey发际线泥、美图秀秀</t>
  </si>
  <si>
    <t>初夏</t>
  </si>
  <si>
    <t>小甜剧无糖奶茶女主，账号内容以生活日常为主。展现了短剧演员丰富多彩的日常生活。</t>
  </si>
  <si>
    <t>美妆、日常</t>
  </si>
  <si>
    <t>https://v.douyin.com/rXkgpu2/</t>
  </si>
  <si>
    <t>https://www.xingtu.cn/ad/creator/author-homepage/douyin-video/7179569792829882426?market_track_id=2FOXOWJPSJT5SZW6D330&amp;search_session_id=7506428934028836900&amp;video_type=2&amp;_route_from=from_page%3DMarket%26search_session_id%3D7506428934028836900%26is_for_order%3D1%26market_track_id%3D2FOXOWJPSJT5SZW6D330%26platform_source%3D1%26key%3D%25E5%25B0%258F%25E9%259B%25AA%25E6%2597%25A5%25E8%25AE%25B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</si>
  <si>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7179569792829882426</t>
  </si>
  <si>
    <t>男 ：24.3%
女 ：75.7%</t>
  </si>
  <si>
    <t>18-23：38.4%
24-30：30.3%
31-40：24.6%</t>
  </si>
  <si>
    <t>Z世代：30.4%
新锐白领：13%
小镇青年：26.3%
精致妈妈：8.3%
资深中产：2.3%
都市蓝领：16.3%
小镇中老年：2.2%
都市银发：1.2%</t>
  </si>
  <si>
    <t>一加、科颜氏、普润盈、滴滴、红谷女包、TATCHA精华水、BRNR、富士相机、伊利金典、可颂</t>
  </si>
  <si>
    <t>谢潇羽x</t>
  </si>
  <si>
    <t>形象帅气，情感细腻，通过有趣的剧情、独特的拍摄手法和精心的剪辑，将情侣间的生活点滴展现得生动有趣。这些内容不仅能吸引粉丝的关注，还为广告植入提供了丰富的场景和机会。。</t>
  </si>
  <si>
    <t>xxy1129y</t>
  </si>
  <si>
    <t>情侣、日常</t>
  </si>
  <si>
    <t>https://v.douyin.com/dHJh1Q1/</t>
  </si>
  <si>
    <t>https://www.xingtu.cn/ad/creator/author-homepage/douyin-video/6808450102416375815?market_track_id=DN5LLR9P9Q9B1MGJYRAO&amp;search_session_id=7506424596179763254&amp;video_type=2&amp;_route_from=from_page%3DMarket%26search_session_id%3D7506424596179763254%26is_for_order%3D1%26market_track_id%3DDN5LLR9P9Q9B1MGJYRAO%26platform_source%3D1%26key%3D%25E8%25B0%25A2%25E6%25BD%2587%25E7%25BE%25BDx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</si>
  <si>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6808450102416375815</t>
  </si>
  <si>
    <t>视频号</t>
  </si>
  <si>
    <t>男：14.3%
女：85.7%</t>
  </si>
  <si>
    <t>18-23：43.7%
24-30：35.8%
31-40：17%</t>
  </si>
  <si>
    <t>Z世代：30.5%
新锐白领：13.3%
小镇青年：29.4%
精致妈妈：8.2%
资深中产：1%
都市蓝领：15.9%
小镇中老年：1.1%
都市银发：0.6%</t>
  </si>
  <si>
    <t>追觅、得物 、比亚迪、MG7、柠季、佳得乐、心相印、荣耀、比亚迪、杜蕾斯、范琦、雪花啤酒、</t>
  </si>
  <si>
    <t>妍甄sama</t>
  </si>
  <si>
    <t>可甜可盐的漂亮妹妹，能演能舞的全能girl</t>
  </si>
  <si>
    <t>yanzhensama</t>
  </si>
  <si>
    <t>颜值、日常</t>
  </si>
  <si>
    <t>https://v.douyin.com/RNPgvkV/</t>
  </si>
  <si>
    <t>https://www.xingtu.cn/ad/creator/author-homepage/douyin-video/6870159990577954824?market_track_id=T8BAMZBOBD6Z18OE3R93&amp;search_session_id=7506431138102444051&amp;video_type=2&amp;_route_from=from_page%3DMarket%26search_session_id%3D7506431138102444051%26is_for_order%3D1%26market_track_id%3DT8BAMZBOBD6Z18OE3R93%26platform_source%3D1%26key%3D%25E5%25A6%258D%25E7%2594%2584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</si>
  <si>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6870159990577954824</t>
  </si>
  <si>
    <t>视频号 微博</t>
  </si>
  <si>
    <t>男：69.1%
女：30.9%</t>
  </si>
  <si>
    <t>18-23：64.1%
24-30：25.3%
31-40：6.8%</t>
  </si>
  <si>
    <t>Z世代：48.5%
新锐白领：14.7%
小镇青年：23.2%
精致妈妈：0.9%
资深中产：0.5%
都市蓝领：11.1%
小镇中老年：0.7%
都市银发：0.4%</t>
  </si>
  <si>
    <t>探探、HMD、西门子</t>
  </si>
  <si>
    <t>彦儿日常</t>
  </si>
  <si>
    <t>彦儿小号，霸气女神的日常，内容多为日常随拍/好物分享/vlog为主，粉丝粘性强，种草能力佳，适合多品类产品自然植入。</t>
  </si>
  <si>
    <t>XL961</t>
  </si>
  <si>
    <t>https://v.douyin.com/N7vAXXo/</t>
  </si>
  <si>
    <t>https://www.xingtu.cn/ad/creator/author-homepage/douyin-video/6813591753300377613?market_track_id=D1XV4JZ26VN8RR0N5HND&amp;search_session_id=7506427944303657014&amp;video_type=2&amp;_route_from=from_page%3DMarket%26search_session_id%3D7506427944303657014%26is_for_order%3D1%26market_track_id%3DD1XV4JZ26VN8RR0N5HND%26platform_source%3D1%26key%3D%25E5%25BD%25A6%25E5%2584%25BF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</si>
  <si>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6813591753300377613</t>
  </si>
  <si>
    <t>男 ：50%
女 ：50%</t>
  </si>
  <si>
    <t>18-23：29.7%
24-30：38.6%
31-40：25.1%</t>
  </si>
  <si>
    <t>Z世代：19.9%
新锐白领：19.3%
小镇青年：27.2%
精致妈妈：5.3%
资深中产：2.4%
都市蓝领：21.6%
小镇中老年：2.6%
都市银发：1.7%</t>
  </si>
  <si>
    <t>菜鸟裹裹、YSL、吉利icon、美诺</t>
  </si>
  <si>
    <t>小林綠</t>
  </si>
  <si>
    <r>
      <rPr>
        <sz val="9"/>
        <color rgb="FF08090C"/>
        <rFont val="微软雅黑"/>
        <charset val="134"/>
      </rPr>
      <t>小林</t>
    </r>
    <r>
      <rPr>
        <sz val="9"/>
        <color rgb="FF08090C"/>
        <rFont val="宋体-简"/>
        <charset val="134"/>
      </rPr>
      <t>綠</t>
    </r>
    <r>
      <rPr>
        <sz val="9"/>
        <color rgb="FF08090C"/>
        <rFont val="微软雅黑"/>
        <charset val="134"/>
      </rPr>
      <t>形象甜美、气质清新自然，其外貌与形象的特质为视频内容奠定了青春活力、亲和力强的基调。因为小林</t>
    </r>
    <r>
      <rPr>
        <sz val="9"/>
        <color rgb="FF08090C"/>
        <rFont val="宋体-简"/>
        <charset val="134"/>
      </rPr>
      <t>綠</t>
    </r>
    <r>
      <rPr>
        <sz val="9"/>
        <color rgb="FF08090C"/>
        <rFont val="微软雅黑"/>
        <charset val="134"/>
      </rPr>
      <t>是头部剧情账号（加菲菡）的日常账号，自带流量。日常生活的内容更加拉近了跟粉丝的距离。与粉丝互动良好，星图日常视频互动率6.3%，超过了59.3%的同类型达人。
搞怪可爱的风格充满生活气息使得产品植入内容场景丰富，适合全品类植入。常规以：时尚美妆类、食品饮料类、生活家居类、数码3C类、户外运动品类等为主。
此外达人配合度高，有成熟的制作团队，造型精良场景丰富。能结合产品特点生活化的展示使用场景和功能特点。并且达人每次产出的内容都十分优质（骆驼冲锋衣等品牌多次复投）</t>
    </r>
  </si>
  <si>
    <t>cptbtptp0506zzz</t>
  </si>
  <si>
    <t>颜值 日常</t>
  </si>
  <si>
    <t>https://v.douyin.com/YFDupKa/</t>
  </si>
  <si>
    <t>https://www.xingtu.cn/ad/creator/author-homepage/douyin-video/6985450122213588999?market_track_id=HAMOFE78QB1VJXO33CNW&amp;search_session_id=7506428100830363687&amp;video_type=2&amp;_route_from=from_page%3DMarket%26search_session_id%3D7506428100830363687%26is_for_order%3D1%26market_track_id%3DHAMOFE78QB1VJXO33CNW%26platform_source%3D1%26key%3D%25E5%25B0%258F%25E6%259E%2597%25E7%25B6%25A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</si>
  <si>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6985450122213588999</t>
  </si>
  <si>
    <t>男：8.6%
女：91.4%</t>
  </si>
  <si>
    <t>18-23：78.3%
24-30：15.5%
31-40：3.6%</t>
  </si>
  <si>
    <t>Z世代：54.2%
新锐白领：6.9%
小镇青年：27.5%
精致妈妈：1.6%
资深中产：0.3%
都市蓝领：8.6%
小镇中老年：0.6%
都市银发：0.3%</t>
  </si>
  <si>
    <t>耐克、脉动、金味挑战赛、柠檬道、阿尔卑斯、香奈儿香水、谷雨、可颂</t>
  </si>
  <si>
    <t>飞飞Lf</t>
  </si>
  <si>
    <t>作品聚焦青春情感与生活日常，演技细腻，剧情自带“爆款基因”，多次斩获百万点赞。依托高完播率与强情感共鸣，星图广告可实现品牌理念深度渗透，是年轻化营销的优选伙伴。</t>
  </si>
  <si>
    <t>nianxiang1105</t>
  </si>
  <si>
    <t>剧情、生活</t>
  </si>
  <si>
    <t>https://v.douyin.com/FmolR1KJook/</t>
  </si>
  <si>
    <t>https://www.xingtu.cn/ad/creator/author-homepage/douyin-video/6859218264526962702?market_track_id=ESWOJZ4LL2IDD4QEYDFT&amp;search_session_id=7550213757390864438&amp;possessStarId</t>
  </si>
  <si>
    <t>6859218264526962702</t>
  </si>
  <si>
    <t>男：9.9%
女：90.1%</t>
  </si>
  <si>
    <t>18-23：29.4%
24-30：28.9%
31-40：33%</t>
  </si>
  <si>
    <t>Z世代：23.2%
新锐白领：10.2%
小镇青年：28.8%
精致妈妈：9%
资深中产：3.2%
都市蓝领：20.4%
小镇中老年：3.9%
都市银发：1.1%</t>
  </si>
  <si>
    <t>六神、别克、瑞幸、波司登、</t>
  </si>
  <si>
    <t>博仔i</t>
  </si>
  <si>
    <t>聚焦青春情感与校园日常，角色塑造鲜活，爆款作品点赞破150万。依托强内容共鸣与高粉丝粘性，星图广告植入自然，已与花西子等多品牌合作，是年轻化营销优选。</t>
  </si>
  <si>
    <t>bozai981105</t>
  </si>
  <si>
    <t>https://v.douyin.com/eXcXMuA/</t>
  </si>
  <si>
    <t>https://www.xingtu.cn/ad/creator/author-homepage/douyin-video/6977280720922214431?market_track_id=UG67XTJXH7NXPKDVOMTP&amp;search_session_id=7550213941088239658&amp;possessStarId</t>
  </si>
  <si>
    <t>6977280720922214431</t>
  </si>
  <si>
    <t>男：29.2%
女：70.8%</t>
  </si>
  <si>
    <t>18-23：42.7%
24-30：22.7%
31-40：20.8%</t>
  </si>
  <si>
    <t>Z世代：38.2%
新锐白领：8.4%
小镇青年：26.7%
精致妈妈：4.1%
资深中产：1.8%
都市蓝领：14.3%
小镇中老年：3.6%
都市银发：2.9%</t>
  </si>
  <si>
    <t>7喜、乌苏啤酒、太太乐、世友地板、娃哈哈、凌渡L、TATA木门、康师傅、起亚</t>
  </si>
  <si>
    <t>资深
演员</t>
  </si>
  <si>
    <t>梦轩</t>
  </si>
  <si>
    <t>颜值、舞蹈、妆容、穿搭都是她的舒适区，而她依旧挑战不同的内容赛道，为商业化时刻做好准备</t>
  </si>
  <si>
    <t>88888882_</t>
  </si>
  <si>
    <t>颜值 创意变装</t>
  </si>
  <si>
    <t>https://v.douyin.com/iRjb6jSc/</t>
  </si>
  <si>
    <t>https://www.xingtu.cn/ad/creator/author-homepage/douyin-video/6918092611571941389?market_track_id=O3DRWQMXZTJK4BBZ0EKJ&amp;search_session_id=7506429452747112460&amp;video_type=2&amp;_route_from=from_page%3DMarket%26search_session_id%3D7506429452747112460%26is_for_order%3D1%26market_track_id%3DO3DRWQMXZTJK4BBZ0EKJ%26platform_source%3D1%26key%3D%25E6%25A2%25A6%25E8%25BD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</si>
  <si>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6918092611571941389</t>
  </si>
  <si>
    <t>男：26.5%
女：73.5%</t>
  </si>
  <si>
    <t>18-23：64.1%
24-30：25.9%
31-40：6.4%</t>
  </si>
  <si>
    <t>Z世代：50.1%
新锐白领：16.5%
小镇青年：20.6%
精致妈妈：3%
资深中产：0.6%
都市蓝领：12%
小镇中老年：0.7%
都市银发：0.6%</t>
  </si>
  <si>
    <t>蛋仔派对、拼多多、七度空间、久匠、初厘蛋糕</t>
  </si>
  <si>
    <t>【剧情】</t>
  </si>
  <si>
    <t>彦儿</t>
  </si>
  <si>
    <t>短剧单集播放破亿，以大女主逆袭剧情精准触达25-35岁女性。深度种草逻辑：通过职场歧视、婚姻危机等冲突场景，自然植入护肤品（逆袭妆容）、家电（独立生活必备）、快消品等多品类，用户主动求链接比例达12%。</t>
  </si>
  <si>
    <t>XL957</t>
  </si>
  <si>
    <t>闺蜜剧情 情侣剧情</t>
  </si>
  <si>
    <t>https://v.douyin.com/EngtHX/</t>
  </si>
  <si>
    <t>https://www.xingtu.cn/ad/creator/author-homepage/douyin-video/6701875533669466123?market_track_id=Y0AJ09JJPQMI0X9YE9AH&amp;search_session_id=7506416770640199721&amp;video_type=2&amp;_route_from=from_page%3DMarket%26search_session_id%3D7506416770640199721%26is_for_order%3D1%26market_track_id%3DY0AJ09JJPQMI0X9YE9AH%26platform_source%3D1%26key%3D%25E5%25BD%25A6%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</si>
  <si>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6701875533669466123</t>
  </si>
  <si>
    <t>女 ：40.6%  
男 ：59.4%</t>
  </si>
  <si>
    <t>18-23：26.6%
24-30：25.8%
31-40：30.1%</t>
  </si>
  <si>
    <t>Z世代：20.9%
新锐白领：14%
小镇青年：24.4%
精致妈妈：5.9%
资深中产：4.7%
都市蓝领：18.2%
小镇中老年：7.1%
都市银发：4.9%</t>
  </si>
  <si>
    <t>YSL、TF、飞利浦、雅诗兰黛、百力滋、迪奥、华为、MAC、卡姿兰、七度空间、奔腾、零跑、岚图、华帝、德芙、</t>
  </si>
  <si>
    <t>加菲菡z</t>
  </si>
  <si>
    <t>定制短剧《糟糕！我被神兽盯上了》单集播放量破8000w，登陆抖音短剧TOP4，剧情强冲突设计（豪门商战/校园逆袭）天然适配品牌植入，用户追剧式追广告，完播率高达8.2%。深度覆盖职场白领、校园Z世代、高净值家庭三类人群，</t>
  </si>
  <si>
    <t>self1998</t>
  </si>
  <si>
    <t>https://v.douyin.com/JCK38Tm/</t>
  </si>
  <si>
    <t>https://www.xingtu.cn/ad/creator/author-homepage/douyin-video/6901242939247181837?market_track_id=3NJRXSI18EDC89GFPWSA&amp;search_session_id=7506417328482517003&amp;video_type=2&amp;_route_from=from_page%3DMarket%26search_session_id%3D7506417328482517003%26is_for_order%3D1%26market_track_id%3D3NJRXSI18EDC89GFPWSA%26platform_source%3D1%26key%3D%25E5%258A%25A0%25E8%258F%25B2%25E8%258F%25A1z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</si>
  <si>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6901242939247181837</t>
  </si>
  <si>
    <t>男：10.6%
女：89.4%</t>
  </si>
  <si>
    <t>18-23：57.5%
24-30：25.6%
31-40：11.5%</t>
  </si>
  <si>
    <t>Z世代：42.4%
新锐白领：11.9%
小镇青年：26.6%
精致妈妈：4.8%
资深中产：1.1%
都市蓝领：10.6%
小镇中老年：1.6%
都市银发：1%</t>
  </si>
  <si>
    <t>SK2、OLAY、飞科、雅诗兰黛、立白、祖玛珑、比亚迪、smart、得物、VIVO、松下、美团、58同城、OPPO</t>
  </si>
  <si>
    <t>无糖奶茶</t>
  </si>
  <si>
    <t>爆款短剧制造机，擅长用“豪门恩怨”“校园甜虐”等强冲突剧情提升完播率。可绑定品牌打造系列IP（如《XX品牌之恋》），在豪门宴会、职场社交等场景中植入奢侈品、汽车、家居产品，利用剧情反转强化产品高端属性。</t>
  </si>
  <si>
    <t>wutangnaicha23</t>
  </si>
  <si>
    <t>情侣剧情</t>
  </si>
  <si>
    <t>https://v.douyin.com/FSgqeNj/</t>
  </si>
  <si>
    <t>https://www.xingtu.cn/ad/creator/author-homepage/douyin-video/7088976987129118750?market_track_id=PKJYMCMSCNCDLLT2NLC8&amp;search_session_id=7506417544229322771&amp;video_type=2&amp;_route_from=from_page%3DMarket%26search_session_id%3D7506417544229322771%26is_for_order%3D1%26market_track_id%3DPKJYMCMSCNCDLLT2NLC8%26platform_source%3D1%26key%3D%25E6%2597%25A0%25E7%25B3%2596%25E5%25A5%25B6%25E8%258C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</si>
  <si>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7088976987129118750</t>
  </si>
  <si>
    <t>男：33.5%
女：66.5%</t>
  </si>
  <si>
    <t>18-23：34.7%
24-30：26.1%
31-40：22.2%</t>
  </si>
  <si>
    <t>Z世代：28.1%
新锐白领：12.3%
小镇青年：22.8%
精致妈妈：7.4%
资深中产：2.1%
都市蓝领：14.8%
小镇中老年：6.2%
都市银发：6.3%</t>
  </si>
  <si>
    <t>Dior、YSL、科颜氏、自然堂、祖玛珑、康师傅 、珀莱雅、雪佛兰、猫箱、京东、QQ炫舞、自然堂、</t>
  </si>
  <si>
    <t>周三拾</t>
  </si>
  <si>
    <t>以“破防朋友”系列直击男性情感痛点，单视频互动率超5%。适合汽车、3C数码、酒、服饰、快消品等多品类，通过“兄弟开黑翻车→借产品化解尴尬”等真实场景，传递“产品即社交解决方案”的价值观。</t>
  </si>
  <si>
    <t>zhousanshi0818</t>
  </si>
  <si>
    <t>剧情、汽车、游戏</t>
  </si>
  <si>
    <t>https://v.douyin.com/jcNeW61/</t>
  </si>
  <si>
    <t>https://www.xingtu.cn/ad/creator/author-homepage/douyin-video/6969058840033624100?market_track_id=HO4R075KN87AMKT91EZI&amp;search_session_id=7506417746180341771&amp;video_type=2&amp;_route_from=from_page%3DMarket%26search_session_id%3D7506417746180341771%26is_for_order%3D1%26market_track_id%3DHO4R075KN87AMKT91EZI%26platform_source%3D1%26key%3D%25E5%2591%25A8%25E4%25B8%2589%25E6%258B%25B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</si>
  <si>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6969058840033624100</t>
  </si>
  <si>
    <t>女 ：26.8%  
男 ：73.2%</t>
  </si>
  <si>
    <t>18-23：42.6%
24-30：22.7%
31-40：20.6%</t>
  </si>
  <si>
    <t>Z世代：38.3%
新锐白领：14.2%
小镇青年：19.9%
精致妈妈：2%
资深中产：3.1%
都市蓝领：16.8%
小镇中老年：2%
都市银发：3.7%</t>
  </si>
  <si>
    <t>美团、RIO、华为哦、零跑、无畏契约、百事可乐、三国杀、阿尔卑斯、小米、理想、999、懂车帝</t>
  </si>
  <si>
    <t>妖孽夫人</t>
  </si>
  <si>
    <t>深耕手工影视装造与短剧领域，《我的手工衣橱》合集播放量达2.1亿，黛玉大婚服等作品获百万点赞。兼具服设、表演等多才艺，粉丝粘性强，适配美妆、服饰、文创等品类，创意植入助力品牌破圈。</t>
  </si>
  <si>
    <t>xy620520</t>
  </si>
  <si>
    <t>剧情</t>
  </si>
  <si>
    <t>https://v.douyin.com/-b2XUM3O2qk/</t>
  </si>
  <si>
    <t>https://www.xingtu.cn/ad/creator/author-homepage/douyin-video/6881097634480652296?market_track_id=VTJM4Z9RTPETU9VQST4G&amp;search_session_id=7569060253904846889&amp;possessStarId</t>
  </si>
  <si>
    <t>6881097634480652296</t>
  </si>
  <si>
    <t>B站 小红书</t>
  </si>
  <si>
    <t>男：38.3%
女：61.7%</t>
  </si>
  <si>
    <t>18-23：23.4%
24-30：30.3%
31-40：24.3%</t>
  </si>
  <si>
    <t>Z世代：13.2%
新锐白领：14%
小镇青年：22.7%
精致妈妈：7.4%
资深中产：2.4%
都市蓝领：19.5%
小镇中老年：10.5%
都市银发：10.1%</t>
  </si>
  <si>
    <t>凌博士、肌肤未来、优时颜、稀物集、猫箱、淘淘氧棉</t>
  </si>
  <si>
    <t>浙江</t>
  </si>
  <si>
    <t>大黄h</t>
  </si>
  <si>
    <t>该达人为剧情赛道博主，短剧：亚特兰蒂斯追妻记，播出一周后，位居品牌短剧热榜第一名；职场/校园/生活场景为主，视频质感高质量产出，达人&amp;团队配合度非常高</t>
  </si>
  <si>
    <t>https://v.douyin.com/eCcKy1K/</t>
  </si>
  <si>
    <t>https://www.xingtu.cn/ad/creator/author-homepage/douyin-video/6972449205344272397?market_track_id=12F1X1FVTARAS8ZLYBSV&amp;search_session_id=7506417675443978303&amp;video_type=2&amp;_route_from=from_page%3DMarket%26search_session_id%3D7506417675443978303%26is_for_order%3D1%26market_track_id%3D12F1X1FVTARAS8ZLYBSV%26platform_source%3D1%26key%3D%25E5%25A4%25A7%25E9%25BB%2584h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</si>
  <si>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6972449205344272397</t>
  </si>
  <si>
    <t>男：21.6%
女：78.4%</t>
  </si>
  <si>
    <t>18-23：62.9%
24-30：23%
31-40：9.2%</t>
  </si>
  <si>
    <t>Z世代：44.6%
新锐白领：11.5%
小镇青年：25.2%
精致妈妈：2.8%
资深中产：0.9%
都市蓝领：12.8%
小镇中老年：1.2%
都市银发：1%</t>
  </si>
  <si>
    <t>欧莱雅、麦当劳、君乐宝、安慕希、华为、松下、海尔、支付宝、兰蔻、膜法世家、深蓝、得物、华帝、飞鹤、比亚迪</t>
  </si>
  <si>
    <t>客户
青睐</t>
  </si>
  <si>
    <t>婵婵说</t>
  </si>
  <si>
    <t>剧情内容以揭露人性、女性安全为主，高品质女性向内容是优势；重度粉丝高达75%，女粉比例高达70.3%，18岁以上粉丝占比高达95%；适合全品类植入，日常较多接单品类有：电器、日化、护肤品等；达人配合度高，可口播；</t>
  </si>
  <si>
    <t>yishijie6666</t>
  </si>
  <si>
    <t>剧情、女性</t>
  </si>
  <si>
    <t>https://v.douyin.com/ijAbtYL4/</t>
  </si>
  <si>
    <t>https://www.xingtu.cn/ad/creator/author-homepage/douyin-video/6870159698314657800?market_track_id=M6JS4GY2JCQA979V3KAD&amp;search_session_id=7506417872022290443&amp;video_type=2&amp;_route_from=from_page%3DMarket%26search_session_id%3D7506417872022290443%26is_for_order%3D1%26market_track_id%3DM6JS4GY2JCQA979V3KAD%26platform_source%3D1%26key%3D%25E5%25A9%25B5%25E5%25A9%25B5%25E8%25AF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</si>
  <si>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6870159698314657800</t>
  </si>
  <si>
    <t>18-23：29.4%
24-30：29.1%
31-40：24.8%</t>
  </si>
  <si>
    <t>Z世代：18%
新锐白领：15.5%
小镇青年：24.1%
精致妈妈：7.6%
资深中产：1.9%
都市蓝领：18.9%
小镇中老年：2.3%
都市银发：1.9%</t>
  </si>
  <si>
    <t>得物、DR、美的、海尔、支付宝、淘淘氧棉、Ulike、高洁丝、好医保、优思明、</t>
  </si>
  <si>
    <t>青岛</t>
  </si>
  <si>
    <t>靖雅欧巴</t>
  </si>
  <si>
    <t>情感向体验式内容，第一视角感受情绪和共鸣，植入场景多、空间大；剧情、短剧承制经验丰富，男粉占比65%；适合汽车、3c数码、游戏类品牌植入</t>
  </si>
  <si>
    <t>176679X</t>
  </si>
  <si>
    <t>剧情、情侣</t>
  </si>
  <si>
    <t>https://v.douyin.com/BcRnESq/</t>
  </si>
  <si>
    <t>https://www.xingtu.cn/ad/creator/author-homepage/douyin-video/6862212139365433351?market_track_id=JXOUKGOXRY4JAFGRHUQG&amp;search_session_id=7506418242886713356&amp;video_type=2&amp;_route_from=from_page%3DMarket%26search_session_id%3D7506418242886713356%26is_for_order%3D1%26market_track_id%3DJXOUKGOXRY4JAFGRHUQG%26platform_source%3D1%26key%3D%25E9%259D%2596%25E9%259B%2585%25E6%25AC%25A7%25E5%25B7%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</si>
  <si>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6862212139365433351</t>
  </si>
  <si>
    <t>男：38.6%
女：61.4%</t>
  </si>
  <si>
    <t>18-23：40.3%
24-30：21.1%
31-40：14.2%</t>
  </si>
  <si>
    <t>Z世代：28.1%
新锐白领：8.1%
小镇青年：22.7%
精致妈妈：3.2%
资深中产：2.9%
都市蓝领：17%
小镇中老年：9.1%
都市银发：8.9%</t>
  </si>
  <si>
    <t>olay 、唯品会、自然堂、外星人饮料、红米、欧莱雅、比亚迪、珍宝珠、坦克、启源、美团、云南白药</t>
  </si>
  <si>
    <t>彦琳Lin</t>
  </si>
  <si>
    <t>治愈系生活博主，以真实接地气的风格圈粉无数。内容覆盖时尚穿搭、健身干货、旅行见闻与生活避坑指南，兼具才艺展示与实用价值，凭借亲和力与正能量引发深度情感共鸣。粉丝粘性强、转化效果优，商业适配时尚、美妆、生活服务等多领域，是品牌高效种草的优质合作选择。</t>
  </si>
  <si>
    <t>Zairenjian888</t>
  </si>
  <si>
    <t>https://v.douyin.com/sW37YfqVKkg/</t>
  </si>
  <si>
    <t>https://www.xingtu.cn/ad/creator/author-homepage/douyin-video/6963730998898982948?market_track_id=7AOT1L3NXCYERYL2WKII&amp;search_session_id=7579578253254754358&amp;possessStarId</t>
  </si>
  <si>
    <t>6963730998898982948</t>
  </si>
  <si>
    <t>男：15.1%
女：84.9%</t>
  </si>
  <si>
    <t>18-23：39.1%
24-30：30.5%
31-40：23.9%</t>
  </si>
  <si>
    <t>Z世代：25.8%
新锐白领：12.5%
小镇青年：28.9%
精致妈妈：9.1%
资深中产：2.6%
都市蓝领：17.3%
小镇中老年：2.6%
都市银发：1.3%</t>
  </si>
  <si>
    <t>重疾险、Ulike、自然堂、喜临门、苏菲、韩束、高洁丝</t>
  </si>
  <si>
    <t>敢敢</t>
  </si>
  <si>
    <t>镜头聚焦恋人间的甜蜜互动、矛盾化解与暖心瞬间，内容真实戳心，极易引发年轻受众情感共鸣。账号粉丝粘性强，评论区互动氛围热烈，品牌植入自然不生硬。适配美妆、服饰、情侣好物等品类推广，助力品牌高效触达目标客群，实现销量与口碑双增长。</t>
  </si>
  <si>
    <t>bk20010531</t>
  </si>
  <si>
    <t>剧情、情感</t>
  </si>
  <si>
    <t>https://v.douyin.com/iLnrNjSN/</t>
  </si>
  <si>
    <t>https://www.xingtu.cn/ad/creator/author-homepage/douyin-video/6870161289092530183?market_track_id=QPV4PC1JHVHA8GSUK8Z0&amp;search_session_id=7506430889400893459&amp;video_type=2&amp;_route_from=from_page%3DMarket%26search_session_id%3D7506430889400893459%26is_for_order%3D1%26market_track_id%3DQPV4PC1JHVHA8GSUK8Z0%26platform_source%3D1%26key%3D%25E6%2595%25A2%25E6%2595%25A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</si>
  <si>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6870161289092530183</t>
  </si>
  <si>
    <t>男：41.1%
女：58.9%</t>
  </si>
  <si>
    <t>18-23：61.8%
24-30：22.7%
31-40：9.3%</t>
  </si>
  <si>
    <t>YSL、海昌、moody美瞳、尊尼获加、雀巢、兰蔻、劲酒、青岛啤酒、</t>
  </si>
  <si>
    <t>活火山</t>
  </si>
  <si>
    <t>以真实搞笑的内容风格圈粉无数。聚焦日常点滴，涵盖生活妙招、趣味分享与暖心瞬间。内容兼具实用性与娱乐性，互动粘性强，粉丝画像广泛。擅长将品牌自然融入场景，转化效果亮眼，是生活、家居、美食等品类的优质合作之选。</t>
  </si>
  <si>
    <t>huohuos</t>
  </si>
  <si>
    <t>剧情搞笑</t>
  </si>
  <si>
    <t>https://v.douyin.com/BHaAiBM_k3w/</t>
  </si>
  <si>
    <t>https://www.xingtu.cn/ad/creator/author-homepage/douyin-video/6819548254661771272?market_track_id=AH4RR3UMN9HSCR01P642&amp;search_session_id=7579518972032024582&amp;possessStarId</t>
  </si>
  <si>
    <t>6819548254661771272</t>
  </si>
  <si>
    <t>快手 小红书</t>
  </si>
  <si>
    <t>男：48.2%
女：51.8%</t>
  </si>
  <si>
    <t>18-23：18.6%
24-30：22.2%
31-40：36.3%</t>
  </si>
  <si>
    <t>Z世代：17.7%
新锐白领：11.4%
小镇青年：22.9%
精致妈妈：6.1%
资深中产：2.9%
都市蓝领：22%
小镇中老年：7.6%
都市银发：9.5%</t>
  </si>
  <si>
    <t>给我一个镜头V</t>
  </si>
  <si>
    <t>主打电影级运镜、院线级调色，每一帧都精致耐看。聚焦都市情感、轻悬疑、治愈甜宠题材，剧情紧凑不拖沓，人设鲜明有记忆点，服化道考究贴合场景，兼具视觉美感与故事张力，流量口碑双优，适配品牌高端植入，实现质感与转化双赢。</t>
  </si>
  <si>
    <t>GWYGJT_V</t>
  </si>
  <si>
    <t>创意剧情</t>
  </si>
  <si>
    <t>https://v.douyin.com/--EOPwGtm5E/</t>
  </si>
  <si>
    <t>https://www.xingtu.cn/ad/creator/author-homepage/douyin-video/7098360218605584397?market_track_id=3JWSUIQCG3KMWOONLRSM&amp;search_session_id=7599601920637927465&amp;possessStarId</t>
  </si>
  <si>
    <t>快手 视频号 微博</t>
  </si>
  <si>
    <t>【汽车测评】</t>
  </si>
  <si>
    <t>李二狗</t>
  </si>
  <si>
    <t>PGC级汽车内容矩阵，粉丝中男性占比85%，超跑爱好者/高净值人群集中。合作案例覆盖凯迪拉克等20+品牌，可定制“大佬座驾评测”“神车挑战赛”等强剧情内容，通过豪车场景自然植入中高端车型，提升品牌调性。</t>
  </si>
  <si>
    <t>2GOU999999999</t>
  </si>
  <si>
    <t>汽车随拍，汽车解说</t>
  </si>
  <si>
    <t>https://v.douyin.com/En7hpe/</t>
  </si>
  <si>
    <t>https://www.xingtu.cn/ad/creator/author-homepage/douyin-video/6810323760353116173?market_track_id=IA07VR1GJP47ACCZYL53&amp;search_session_id=7506418842764410892&amp;video_type=2&amp;_route_from=from_page%3DMarket%26search_session_id%3D7506418842764410892%26is_for_order%3D1%26market_track_id%3DIA07VR1GJP47ACCZYL53%26platform_source%3D1%26key%3D%25E6%259D%258E%25E4%25BA%258C%25E7%258B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</si>
  <si>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6810323760353116173</t>
  </si>
  <si>
    <t>视频号 懂车帝 微博 汽车之家</t>
  </si>
  <si>
    <t>男：94.6%
女：5.4%</t>
  </si>
  <si>
    <t>18-23：26.1%
24-30：38.8%
31-40：30.2%</t>
  </si>
  <si>
    <t>Z世代：17.2%
新锐白领：36.1%
小镇青年：21.5%
精致妈妈：0.9%
资深中产：3.4%
都市蓝领：17.9%
小镇中老年：1.7%
都市银发：1.2%</t>
  </si>
  <si>
    <t>凯迪拉克、深蓝、东风、别克E5、哈弗、阿维塔、小鹏G6、朗逸新锐、瑞虎9、农夫山泉、宝骏悦也、奇骏、别克君越、捷途汽车、雪佛兰星迈罗、智己LS7</t>
  </si>
  <si>
    <t>极速马力part</t>
  </si>
  <si>
    <t>烟嗓萝莉人设打破车评圈同质化，男粉互动意愿行业TOP10%。可设计多场景汽车使用，适配汽车配件、数码3C等，转化二次元与直男双重消费群体。</t>
  </si>
  <si>
    <t>jisumali666</t>
  </si>
  <si>
    <t>https://v.douyin.com/RLPXyXk/</t>
  </si>
  <si>
    <t>https://www.xingtu.cn/ad/creator/author-homepage/douyin-video/6949818439837941797?market_track_id=9OPR4JK5A7HVRUI77UJN&amp;search_session_id=7506418791321731126&amp;video_type=2&amp;_route_from=from_page%3DMarket%26search_session_id%3D7506418791321731126%26is_for_order%3D1%26market_track_id%3D9OPR4JK5A7HVRUI77UJN%26platform_source%3D1%26key%3D%25E6%259E%2581%25E9%2580%259F%25E9%25A9%25AC%25E5%258A%259Bpart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</si>
  <si>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6949818439837941797</t>
  </si>
  <si>
    <t>男 ：89.7%
女 ：10.3%</t>
  </si>
  <si>
    <t>18-23：29.4%
24-30：28.8%
31-40：24%</t>
  </si>
  <si>
    <t>Z世代：19.8%
新锐白领：24.9%
小镇青年：15.4%
精致妈妈：0.6%
资深中产：3.8%
都市蓝领：22.8%
小镇中老年：5.4%
都市银发：7.4%</t>
  </si>
  <si>
    <t>奥迪、路特斯、长城汽车、奇瑞、大众ID、别克、日产逍客、蓝山、上汽汽车、坦克、途昂、高山MVP、腾势、阿维塔、零跑、哈弗、吉利</t>
  </si>
  <si>
    <t>奶爸Kyle懂科技</t>
  </si>
  <si>
    <t>科技育儿双赛道达人，用硬核技术拆解汽车、数码家电等智能好物，实测+科普+场景化种草，内容专业有温度，覆盖0-6岁家庭与科技消费人群，擅长汽车、数码家电、智能育儿、家居科技类合作，内容转化率高，可定制测评/剧情/开箱，欢迎品牌方洽谈。</t>
  </si>
  <si>
    <t>Super_Kyle</t>
  </si>
  <si>
    <t>汽车测评</t>
  </si>
  <si>
    <t>https://v.douyin.com/HPjVdhwpF6g/</t>
  </si>
  <si>
    <t>https://www.xingtu.cn/ad/creator/author-homepage/douyin-video/6686261173408497672?market_track_id=C9KC0V2695YKCAMPRZAN&amp;search_session_id=7603622751542902847&amp;possessStarId</t>
  </si>
  <si>
    <t>6686261173408497672</t>
  </si>
  <si>
    <t>视频号 快手 微博 
小红书</t>
  </si>
  <si>
    <t>男：68.3%
女：31.7%</t>
  </si>
  <si>
    <t>18-23：16.7%
24-30：16.5%
31-40：24.2%</t>
  </si>
  <si>
    <t>Z世代：29.9%
新锐白领：8.3%
小镇青年：23.2%
精致妈妈：1.5%
资深中产：2.5%
都市蓝领：8.1%
小镇中老年：12.3%
都市银发：14.2%</t>
  </si>
  <si>
    <t>启境汽车、华为乾崑、一汽丰田、起亚汽车 、smart、岚图、昊铂HL、理想</t>
  </si>
  <si>
    <t>温州</t>
  </si>
  <si>
    <t>懂车老外（非遗学艺版）</t>
  </si>
  <si>
    <t>以“汽车专业+非遗文化”跨界破圈，老外视角自带话题感，非遗场景强化内容质感与记忆点。精准触达年轻汽车兴趣群体，将车辆性能融入传统技艺体验，实现专业种草与文化共鸣双重效果。内容兼具传播力与转化力，适配汽车及相关品牌星图投放，助力品牌破圈增效。</t>
  </si>
  <si>
    <t>Auto_KDK</t>
  </si>
  <si>
    <t>汽车、非遗</t>
  </si>
  <si>
    <t>https://v.douyin.com/Fo6zCYRvpPA/</t>
  </si>
  <si>
    <t>https://www.xingtu.cn/ad/creator/author-homepage/douyin-video/7381766949996331017?market_track_id=NEDQY0AMQQDYQN41G8CM&amp;search_session_id=7572463486438735878&amp;possessStarId</t>
  </si>
  <si>
    <t>7381766949996331017</t>
  </si>
  <si>
    <t>视频号、懂车帝、易车、头条</t>
  </si>
  <si>
    <t>男：53.3%
女：46.7%</t>
  </si>
  <si>
    <t>18-23：20.6%
31-40：28%
50+：26%</t>
  </si>
  <si>
    <t>Z世代：28.1%
新锐白领：10.8%
小镇青年：18.9%
精致妈妈：2.7%
资深中产：4.7%
都市蓝领：13.4%
小镇中老年：10%
都市银发：11.4%</t>
  </si>
  <si>
    <t>深圳/惠州</t>
  </si>
  <si>
    <t>爱旅行的奶爸塔姆</t>
  </si>
  <si>
    <t xml:space="preserve">以“混血奶爸+亲子露营”为核心标签，300天在路上的真实旅途场景极具代入感。内容聚焦亲子出行、户外装备等垂直领域，粉丝精准覆盖年轻家庭群体，原生种草自然不生硬。兼具旅行的趣味性与育儿的情感共鸣，转化力强，适配汽车、户外、母婴等多品类星图广告投放，助力品牌高效触达目标客群。
</t>
  </si>
  <si>
    <t>Road_Tahm</t>
  </si>
  <si>
    <t>汽车、旅行</t>
  </si>
  <si>
    <t>https://v.douyin.com/_FIjdu3XHpI/</t>
  </si>
  <si>
    <t>https://www.xingtu.cn/ad/creator/author-homepage/douyin-video/7515706747558821914?market_track_id=V0L18ORLB0HFDNBMGWSO&amp;search_session_id=7572463472073343017&amp;possessStarId</t>
  </si>
  <si>
    <t>7515706747558821914</t>
  </si>
  <si>
    <t>视频号、懂车帝、头条</t>
  </si>
  <si>
    <t>男 ：80.3%
女 ：19.7%</t>
  </si>
  <si>
    <t>18-23：19.2%
24-30：37.3%
31-40：32.3%</t>
  </si>
  <si>
    <t>Z世代：11.6%
新锐白领：35.6%
小镇青年：19.2%
精致妈妈：3.3%
资深中产：5.3%
都市蓝领：16.8%
小镇中老年：3.8%
都市银发：4.3%</t>
  </si>
  <si>
    <t>厂长到处跑</t>
  </si>
  <si>
    <t>聚焦汽车行业，以工厂探访、行业揭秘、专业测评为核心内容，兼具行业深度与趣味性。依托真实制造业背景，内容专业可信，粉丝精准覆盖汽车爱好者、从业者及潜在消费者。广告植入自然原生，适配汽车、零部件、工具、养护品等品类，星图投放转化高效，助力品牌精准触达垂直受众。</t>
  </si>
  <si>
    <t>Auto_Diary</t>
  </si>
  <si>
    <t>汽车</t>
  </si>
  <si>
    <t>https://v.douyin.com/0QUqPDyOiYI/</t>
  </si>
  <si>
    <t>https://www.xingtu.cn/ad/creator/author-homepage/douyin-video/7547976599398318089?market_track_id=R5DZ8YSWRGDLDFHSKGHK&amp;search_session_id=7572463525462655039&amp;possessStarId</t>
  </si>
  <si>
    <t>7547976599398318089</t>
  </si>
  <si>
    <t>视频号、懂车帝、小红书、微博</t>
  </si>
  <si>
    <t>男 ：38.7%
女 ：61.3%</t>
  </si>
  <si>
    <t>18-23：12.8%
31-40：36.5%
50+：30.7%</t>
  </si>
  <si>
    <t>Z世代：19.4%
新锐白领：12.9%
小镇青年：17.4%
精致妈妈：2.3%
资深中产：5.9%
都市蓝领：16.9%
小镇中老年：8.7%
都市银发：11%</t>
  </si>
  <si>
    <t>广东惠州</t>
  </si>
  <si>
    <t>极速双子</t>
  </si>
  <si>
    <r>
      <rPr>
        <sz val="9"/>
        <color rgb="FF08090C"/>
        <rFont val="微软雅黑"/>
        <charset val="134"/>
      </rPr>
      <t>👯</t>
    </r>
    <r>
      <rPr>
        <sz val="9"/>
        <color rgb="FF08090C"/>
        <rFont val="Times New Roman"/>
        <charset val="134"/>
      </rPr>
      <t>‍</t>
    </r>
    <r>
      <rPr>
        <sz val="9"/>
        <color rgb="FF08090C"/>
        <rFont val="微软雅黑"/>
        <charset val="134"/>
      </rPr>
      <t>♀️i人姐姐+e人妹妹的双胞胎说车组合，275w+粉丝心中的“新能源汽车小指南”！以爆笑日常+专业解析为特色，聚焦300款新能源车测评，精准触达用车需求用户。内容兼具趣味性与实用性，爆款频出，垂直赛道影响力强，是汽车及相关品类高效转化的优选合作达人～</t>
    </r>
  </si>
  <si>
    <t>TWINS_DMV</t>
  </si>
  <si>
    <t>https://v.douyin.com/UMaHdy_IyKw/</t>
  </si>
  <si>
    <t>https://www.xingtu.cn/ad/creator/author-homepage/douyin-video/7220300260617224252?market_track_id=3KUHLSB48RKZ5QU7UJG1&amp;search_session_id=7585483192904761398&amp;possessStarId</t>
  </si>
  <si>
    <t>7220300260617224252</t>
  </si>
  <si>
    <t>视频号、小红书、快手、懂车帝、易车</t>
  </si>
  <si>
    <t>男 ：64%
女 ：36%</t>
  </si>
  <si>
    <t>18-23：30.1%
24-30：22.5%
31-40：24.3%</t>
  </si>
  <si>
    <t>Z世代：21.3%
新锐白领：18.1%
小镇青年：19.3%
精致妈妈：2.4%
资深中产：3.9%
都市蓝领：17.4%
小镇中老年：7.7%
都市银发：9.8%</t>
  </si>
  <si>
    <t>岚图、丰田、欧拉</t>
  </si>
  <si>
    <t>夏77🟡CAG</t>
  </si>
  <si>
    <t>又甜美又专业的说车小姐姐，内容以汽车分享、汽车知识为主，风格独特、颜值在线。
男粉占比高、忠诚度高、粉丝互动及粘性强，达人针对市面上的汽车品牌有独到的见解。
汽车合作数据优质、内容精良、达人配合度高、产出高效。</t>
  </si>
  <si>
    <t>Vk977</t>
  </si>
  <si>
    <t>汽车随拍，颜值解说</t>
  </si>
  <si>
    <t>https://v.douyin.com/eC3yEYf/</t>
  </si>
  <si>
    <t>https://www.xingtu.cn/ad/creator/author-homepage/douyin-video/6629127176400666631?market_track_id=N70MFCTDKM9P7OANQPMW&amp;search_session_id=7506419022990000191&amp;video_type=2&amp;_route_from=from_page%3DMarket%26search_session_id%3D7506419022990000191%26is_for_order%3D1%26market_track_id%3DN70MFCTDKM9P7OANQPMW%26platform_source%3D1%26key%3D%25E5%25A4%258F77%25F0%259F%259F%25A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</si>
  <si>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6629127176400666631</t>
  </si>
  <si>
    <t>男：70.2%
女：29.8%</t>
  </si>
  <si>
    <t>18-23：17.9%
24-30：18.1%
31-40：21.5%</t>
  </si>
  <si>
    <t>Z世代：15.6%
新锐白领：12.6%
小镇青年：18.8%
精致妈妈：0.6%
资深中产：2.5%
都市蓝领：13.3%
小镇中老年：16.7%
都市银发：19.7%</t>
  </si>
  <si>
    <t>奥迪、东风奕派、吉利帝豪、东风日产、领克、阿维塔、思域、奇瑞、奔腾、吉利银河、岚图、福特、小鹏、极狐、领克</t>
  </si>
  <si>
    <t>丁啊叮CAG</t>
  </si>
  <si>
    <t>美女汽车达人，首创“约会100个弟弟”汽车内容模式，通过年龄/职业差异化碰撞制造话题。适合主打年轻男性市场的品牌（如运动饮料、潮牌）联名，在约会场景中植入产品试用环节，强化“社交货币”属性。</t>
  </si>
  <si>
    <t>DD0904</t>
  </si>
  <si>
    <t>https://v.douyin.com/8Y1YhAe/</t>
  </si>
  <si>
    <t>https://www.xingtu.cn/ad/creator/author-homepage/douyin-video/6629725045386117128?market_track_id=SUU99W0ZLQ0TMB899JER&amp;search_session_id=7506419291269644299&amp;video_type=2&amp;_route_from=from_page%3DMarket%26search_session_id%3D7506419291269644299%26is_for_order%3D1%26market_track_id%3DSUU99W0ZLQ0TMB899JER%26platform_source%3D1%26key%3D%25E4%25B8%2581%25E5%2595%258A%25E5%258F%25A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</si>
  <si>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6629725045386117128</t>
  </si>
  <si>
    <t>男 ：78.7%
女 ：21.3%</t>
  </si>
  <si>
    <t>18-23：23.2%
24-30：25.2%
31-40：25.9%</t>
  </si>
  <si>
    <t>Z世代：18.2%
新锐白领：18%
小镇青年：22%
精致妈妈：1.2%
资深中产：2.9%
都市蓝领：16.6%
小镇中老年：9.9%
都市银发：11.2%</t>
  </si>
  <si>
    <t>泸州老窖、大众、腾势、东风日产、长安深蓝、阿维塔、传祺、广汽昊铂、东风风神、方程豹、奔腾、岚图、极狐</t>
  </si>
  <si>
    <t>蒋一亿🚗CAG</t>
  </si>
  <si>
    <t>颜值高、男粉多的汽车垂类美女，配合度高，合作过拼多多、大众、神火大陆等品牌</t>
  </si>
  <si>
    <t>汽车、颜值</t>
  </si>
  <si>
    <t>https://v.douyin.com/ikHJhdsd/ 5@0.com</t>
  </si>
  <si>
    <t>https://www.xingtu.cn/ad/creator/author-homepage/douyin-video/6855307372995280896?market_track_id=0U7XA97WQ7FAZ0HB1OQJ&amp;search_session_id=7506419289869107212&amp;video_type=2&amp;_route_from=from_page%3DMarket%26search_session_id%3D7506419289869107212%26is_for_order%3D1%26market_track_id%3D0U7XA97WQ7FAZ0HB1OQJ%26platform_source%3D1%26key%3D%25E8%2592%258B%25E4%25B8%2580%25E4%25BA%25BF%25F0%259F%259A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</si>
  <si>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6855307372995280896</t>
  </si>
  <si>
    <t>视频号 懂车帝  汽车之家</t>
  </si>
  <si>
    <t>男 ：83.5%
女 ：16.5%</t>
  </si>
  <si>
    <t>18-23：37.7%
24-30：29.8%
31-40：22.9%</t>
  </si>
  <si>
    <t>z世代：31%
小镇青年：24.1%
精致妈妈：1%
新锐白领：21.5%
都市蓝领：14.5%
小镇中老年：3%
资深中产：2.5%
都市银发：2.4%</t>
  </si>
  <si>
    <t>东风日产、长安深蓝、瓜子二手车、icar、阿维塔、岚图、起亚、吉利、BJ</t>
  </si>
  <si>
    <t>叶子宝宝🍃CAG</t>
  </si>
  <si>
    <t>高颜值美女汽车达人，粉丝活跃且粘性高。专注汽车领域，内容形式吸睛。合作优势显著，精准触达车迷，创作、互动强。可推广汽车品牌、周边及相关活动，</t>
  </si>
  <si>
    <t>yezi600</t>
  </si>
  <si>
    <t>https://v.douyin.com/NfM4H3xVgqI/ 0@0.com</t>
  </si>
  <si>
    <t>https://www.xingtu.cn/ad/creator/author-homepage/douyin-video/6870160334506688526?market_track_id=ALUPYOHU2Q7WIQNY7CS6&amp;search_session_id=7529771916695224339&amp;possessStarId</t>
  </si>
  <si>
    <t>6870160334506688526</t>
  </si>
  <si>
    <t>视频号 懂车帝 汽车之家</t>
  </si>
  <si>
    <t>男 ：88.3%
女 ：11.7%</t>
  </si>
  <si>
    <t>18-23：18.7%
24-30：29.9%
31-40：31.5%</t>
  </si>
  <si>
    <t>Z世代：12.4%
新锐白领：20.3%
小镇青年：23.2%
精致妈妈：0.9%
资深中产：4.2%
都市蓝领：23%
小镇中老年：8%
都市银发：7.9%</t>
  </si>
  <si>
    <t>东风日产</t>
  </si>
  <si>
    <t>CAG女团</t>
  </si>
  <si>
    <t>粉丝活跃且粘性高。专注汽车领域，车型涉猎广，内容形式吸睛。合作优势显著，精准触达车迷，创作、互动强。可推广汽车品牌、周边及相关活动，</t>
  </si>
  <si>
    <t>pkb071800</t>
  </si>
  <si>
    <t>https://v.douyin.com/YVnZ2nB_6tQ/ 9@0.com</t>
  </si>
  <si>
    <t>https://www.xingtu.cn/ad/creator/author-homepage/douyin-video/6729824086039461891?market_track_id=MR96FF0YLNLMW3T5JZGY&amp;search_session_id=7506415498557505577&amp;video_type=2&amp;_route_from=from_page%3DMarket%26search_session_id%3D7506415498557505577%26is_for_order%3D1%26market_track_id%3DMR96FF0YLNLMW3T5JZGY%26platform_source%3D1%26key%3D%25E7%259A%25AE%25E5%258D%25A1%25E7%2599%25BD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</si>
  <si>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6729824086039461891</t>
  </si>
  <si>
    <t>男 ：90.4%
女 ：9.6%</t>
  </si>
  <si>
    <t>31-40：32.9%
41-50：28.3%
50+：17.1%</t>
  </si>
  <si>
    <t>z世代：4.1%
小镇青年：18.6%
精致妈妈：0.5%
新锐白领：12.7%
都市蓝领：16.6%
小镇中老年：21.8%
资深中产：6.8%
都市银发：19%</t>
  </si>
  <si>
    <t>皮卡白</t>
  </si>
  <si>
    <t>汽车垂类颜值女博主，内容主要以颜值讲车+趣味玩梗为主，男粉高达97.7%，完播率高，适合汽车、汽车配件、游戏等品类植入；达人配合度高，可口播；</t>
  </si>
  <si>
    <t>pkb0718</t>
  </si>
  <si>
    <t>https://v.douyin.com/iBXmyyq9/ 3@3.com</t>
  </si>
  <si>
    <t>https://www.xingtu.cn/ad/creator/author-homepage/douyin-video/6959337293316358177?market_track_id=ZFTAZJCSHTMZDAY2RDSW&amp;search_session_id=7506419462191530047&amp;video_type=2&amp;_route_from=from_page%3DMarket%26search_session_id%3D7506419462191530047%26is_for_order%3D1%26market_track_id%3DZFTAZJCSHTMZDAY2RDSW%26platform_source%3D1%26key%3D%25E7%259A%25AE%25E5%258D%25A1%25E7%2599%25BD%25E7%259A%2584%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</si>
  <si>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6959337293316358177</t>
  </si>
  <si>
    <t>男：90.3%
女：9.7%</t>
  </si>
  <si>
    <t>18-23：30.7%
24-30：34.5%
31-40：28.9%</t>
  </si>
  <si>
    <t>Z世代：20.1%
新锐白领：28.1%
小镇青年：23.7%
精致妈妈：1.5%
资深中产：3.3%
都市蓝领：20%
小镇中老年：2%
都市银发：1.3%</t>
  </si>
  <si>
    <t>吉利帝豪、长城、五菱缤果、捷途</t>
  </si>
  <si>
    <t>【变装/COS】</t>
  </si>
  <si>
    <t>热门
账号</t>
  </si>
  <si>
    <r>
      <rPr>
        <sz val="10"/>
        <color rgb="FF08090C"/>
        <rFont val="微软雅黑"/>
        <charset val="134"/>
      </rPr>
      <t>四月</t>
    </r>
    <r>
      <rPr>
        <sz val="10"/>
        <color rgb="FF08090C"/>
        <rFont val="宋体"/>
        <charset val="134"/>
      </rPr>
      <t>❤</t>
    </r>
  </si>
  <si>
    <t>深耕颜值与二次元领域，拥三百万+粉丝，作品平均点赞9.9万、分享1.5万。锡剧专业加持，汉服与日常内容兼具特色，精准触达兴趣用户。四月营销黄金期，可定制创意内容，助力品牌高效破圈、提升转化。</t>
  </si>
  <si>
    <t>颜值、古风变装</t>
  </si>
  <si>
    <t>https://v.douyin.com/91XqThN95LU/</t>
  </si>
  <si>
    <t>https://www.xingtu.cn/ad/creator/author-homepage/douyin-video/6596679736393465860?market_track_id=APBR2FCN2QFQPX0QSDB3&amp;search_session_id=7565742280636989503&amp;possessStarId</t>
  </si>
  <si>
    <t>6596679736393465860</t>
  </si>
  <si>
    <t>小红书 视频号</t>
  </si>
  <si>
    <t>男：24.8%
女：75.2%</t>
  </si>
  <si>
    <t>18-23：41.8%
24-30：39.9%
31-40：15.1%</t>
  </si>
  <si>
    <t>Z世代：22.4%
新锐白领：24.8%
小镇青年：22.9%
精致妈妈：7.7%
资深中产：1.8%
都市蓝领：18.3%
小镇中老年：1.3%
都市银发：0.8%</t>
  </si>
  <si>
    <t>多闪APP</t>
  </si>
  <si>
    <t>南京</t>
  </si>
  <si>
    <t>超不可爱小朋友</t>
  </si>
  <si>
    <t>古风高颜值，擅长古风变装，内容质量高，女粉占比76.4%，美妆游戏汽车品牌等适配度高</t>
  </si>
  <si>
    <t>NiCCCCCe</t>
  </si>
  <si>
    <t>https://v.douyin.com/rNwDm9W/</t>
  </si>
  <si>
    <t>https://www.xingtu.cn/ad/creator/author-homepage/douyin-video/6789921129067724814?market_track_id=J7IHFN9EOYAI4FHGGJAS&amp;search_session_id=7506418399556157494&amp;video_type=2&amp;_route_from=from_page%3DMarket%26search_session_id%3D7506418399556157494%26is_for_order%3D1%26market_track_id%3DJ7IHFN9EOYAI4FHGGJAS%26platform_source%3D1%26key%3D%25E8%25B6%2585%25E4%25B8%258D%25E5%258F%25AF%25E7%2588%25B1%25E5%25B0%258F%25E6%259C%258B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</si>
  <si>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6789921129067724814</t>
  </si>
  <si>
    <t>男：27.7%   
女：72.3%</t>
  </si>
  <si>
    <t>18-23：60.2%
24-30：22.9%
31-40：10.2%</t>
  </si>
  <si>
    <t>Z世代：47.6%
新锐白领：10.8%
小镇青年：25.3%
精致妈妈：3.3%
资深中产：1.1%
都市蓝领：9.4%
小镇中老年：1.6%
都市银发：1%</t>
  </si>
  <si>
    <t>雅诗兰黛、YSL 、TOM FORD、毛戈平、KIKO、长安三万里、MAC、逆水寒、暗河传、伊利须尽欢、成都欢乐谷、岚图上海车展、泉州国潮节</t>
  </si>
  <si>
    <t>泽陽.</t>
  </si>
  <si>
    <t>年轻且创意十足，风格多元，粉丝活跃度高。视频制作精良，能精准抓住用户眼球，助力品牌有效传播。合作诚意满满，配合度高，能按需求产出优质内容，为广告客户带来超高性价比营销。</t>
  </si>
  <si>
    <t>Talonsky</t>
  </si>
  <si>
    <t>变装、颜值</t>
  </si>
  <si>
    <t>https://v.douyin.com/D2Syf86/</t>
  </si>
  <si>
    <t>https://www.xingtu.cn/ad/creator/author-homepage/douyin-video/6938687645769990180?market_track_id=DMIQS879LMYA0HUM1WM8&amp;search_session_id=7506418399556698166&amp;video_type=2&amp;_route_from=from_page%3DMarket%26search_session_id%3D7506418399556698166%26is_for_order%3D1%26market_track_id%3DDMIQS879LMYA0HUM1WM8%26platform_source%3D1%26key%3D%25E6%25B3%25BD%25E9%2599%25BD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</si>
  <si>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6938687645769990180</t>
  </si>
  <si>
    <t>男：53.5%
女：46.5%</t>
  </si>
  <si>
    <t>18-23：41.4%
31-40：23.7%
31-40：22.6%</t>
  </si>
  <si>
    <t>Z世代：31.3%
新锐白领：16.8%
小镇青年：24%
精致妈妈：7.9%
资深中产：5.2%
都市蓝领：8.9%
小镇中老年：3%
都市银发：2.9%</t>
  </si>
  <si>
    <t>永劫无间、乌苏白啤、燕云十六声、林里</t>
  </si>
  <si>
    <t>Cn 脸扁</t>
  </si>
  <si>
    <t>会拉二胡和拥有有趣灵魂的coser，风格跨越大，满足不同粉丝群体的喜好。</t>
  </si>
  <si>
    <t>COS 变装</t>
  </si>
  <si>
    <t>https://v.douyin.com/jw6LBUB/</t>
  </si>
  <si>
    <t>https://www.xingtu.cn/ad/creator/author-homepage/douyin-video/6783864693632008200?market_track_id=DX2XFJA2VHND2WDXVECP&amp;search_session_id=7506418399556894774&amp;video_type=2&amp;_route_from=from_page%3DMarket%26search_session_id%3D7506418399556894774%26is_for_order%3D1%26market_track_id%3DDX2XFJA2VHND2WDXVECP%26platform_source%3D1%26key%3DCn%2B%25E8%2584%25B8%25E6%2589%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</si>
  <si>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6783864693632008200</t>
  </si>
  <si>
    <t>男：21%
女：79%</t>
  </si>
  <si>
    <t>18-23：46.3%
24-30：11.1%
31-40：14.8%</t>
  </si>
  <si>
    <t>Z世代：47.9%
新锐白领：3.5%
小镇青年：24.8%
精致妈妈：0.9%
资深中产：1.4%
都市蓝领：8.9%
小镇中老年：6.4%
都市银发：6.3%</t>
  </si>
  <si>
    <t>毛戈平、可口可乐、阴阳师、梦幻西游、饿了么、香飘飘、饿了么、燕云十六声、华为、番茄小说、卫龙</t>
  </si>
  <si>
    <t>重庆</t>
  </si>
  <si>
    <t>鹿里真茗🦌</t>
  </si>
  <si>
    <t>会配音玩cos的美妆短剧变装国风博主，适合的行业涵盖自媒体、文化传播、教育培训等。</t>
  </si>
  <si>
    <t>Lulizhenming</t>
  </si>
  <si>
    <t>https://v.douyin.com/ik1j1xge/ 9@3.com</t>
  </si>
  <si>
    <t>https://www.xingtu.cn/ad/creator/author-homepage/douyin-video/6910389796934254599?market_track_id=ZAKP6TWX3Z0B093LXPGP&amp;search_session_id=7506415352033706038&amp;video_type=2&amp;_route_from=from_page%3DMarket%26search_session_id%3D7506415352033706038%26is_for_order%3D1%26market_track_id%3DZAKP6TWX3Z0B093LXPGP%26platform_source%3D1%26key%3D%25E9%25B9%25BF%25E9%2587%258C%25E7%259C%259F%25E8%258C%2597%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</si>
  <si>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6910389796934254599</t>
  </si>
  <si>
    <t>男：12.6%
女：87.4%</t>
  </si>
  <si>
    <t>18-23：65.5%
24-30：21.9%
31-40：7.8%</t>
  </si>
  <si>
    <t>Z世代：45.7%
新锐白领：11.9%
小镇青年：25.1%
精致妈妈：3.5%
资深中产：0.9%
都市蓝领：10.6%
小镇中老年：1.3%
都市银发：0.9%</t>
  </si>
  <si>
    <t>天猫精灵、倩女幽魂、盛世芳华手游、谷雨、支付宝、茶百道、猫箱、浮生为卿歌、指间山海</t>
  </si>
  <si>
    <t>杭州</t>
  </si>
  <si>
    <t>小年Nian</t>
  </si>
  <si>
    <t>作为专职 coser，达人 COS 作品质量高，对角色的还原度及细节把控都非常出色，能精准地呈现出角色的神韵和气质，让观众有很强的代入感，仿佛角色从二次元世界走进了现实.
作品风格鲜明，色彩搭配和画面构图都极具视觉冲击力，明暗处理到位，在展现角色美感的同时，也能充分发挥产品特色。</t>
  </si>
  <si>
    <t>Thesmallyear</t>
  </si>
  <si>
    <t>COS、二次元剧情</t>
  </si>
  <si>
    <t>https://v.douyin.com/iDDUXSLj/ 9@1.com :2pm</t>
  </si>
  <si>
    <t>https://www.xingtu.cn/ad/creator/author-homepage/douyin-video/7260488513212710970?market_track_id=3V43JEXVIF8XB9KJH909&amp;search_session_id=7506416010629988393&amp;video_type=2&amp;_route_from=from_page%3DMarket%26search_session_id%3D7506416010629988393%26is_for_order%3D1%26market_track_id%3D3V43JEXVIF8XB9KJH909%26platform_source%3D1%26key%3D%25E5%25B0%258F%25E5%25B9%25B4N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</si>
  <si>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7260488513212710970</t>
  </si>
  <si>
    <t>男：31.2%
女：68.8%</t>
  </si>
  <si>
    <t>18-23：38.5%
24-30：16.8%
31-40：22.8%</t>
  </si>
  <si>
    <t>Z世代：38.1%
新锐白领：8.2%
小镇青年：22.9%
精致妈妈：2.7%
资深中产：2.5%
都市蓝领：13.8%
小镇中老年：5.6%
都市银发：6.1%</t>
  </si>
  <si>
    <t>斗罗大陆、第五人格、寻道大千、益禾堂、霸王茶姬、oppo、不良人、燕云十六声、芬达、番茄小说、猫箱</t>
  </si>
  <si>
    <t>安吉AnJ</t>
  </si>
  <si>
    <t>深耕cos与特效变装领域，擅长还原动漫、影视、游戏等多类IP角色，妆造精细、角色适配度拉满。同时融合创意特效变装，通过炫酷技术打破次元壁，带来沉浸式视觉体验。</t>
  </si>
  <si>
    <t>COS 变装 特效</t>
  </si>
  <si>
    <t>https://v.douyin.com/wY5EbAVpuV8/</t>
  </si>
  <si>
    <t>https://www.xingtu.cn/ad/creator/author-homepage/douyin-video/7488315869542481958?market_track_id=GN4C1YMKB8J6X9QKJHNN&amp;search_session_id=7576565643592663094&amp;possessStarId</t>
  </si>
  <si>
    <t>7488315869542481958</t>
  </si>
  <si>
    <t>小红书 视频号 B站</t>
  </si>
  <si>
    <t>男：43%
女：57%</t>
  </si>
  <si>
    <t>18-23：57%
24-30：22%
31-40：12%</t>
  </si>
  <si>
    <t>武汉</t>
  </si>
  <si>
    <t>【旅行/摄影】</t>
  </si>
  <si>
    <t>聪仔</t>
  </si>
  <si>
    <t>粉丝以一线城市30+中产为主，热衷小众旅行、品质家居。可定制“产品融入旅途”内容（如相机记录极光、行李箱测评），传递“慢生活”理念，适配汽车、户外装备、高端家电品牌。</t>
  </si>
  <si>
    <t>摄影 日常 旅行</t>
  </si>
  <si>
    <t>https://v.douyin.com/BNvsvjV/</t>
  </si>
  <si>
    <t>https://www.xingtu.cn/ad/creator/author-homepage/douyin-video/6906468704179978253?market_track_id=PF8ZCBKZ0WM963G1RPPE&amp;search_session_id=7506418652669968420&amp;video_type=2&amp;_route_from=from_page%3DMarket%26search_session_id%3D7506418652669968420%26is_for_order%3D1%26market_track_id%3DPF8ZCBKZ0WM963G1RPPE%26platform_source%3D1%26key%3D%25E8%2581%25AA%25E4%25BB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</si>
  <si>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6906468704179978253</t>
  </si>
  <si>
    <t>女 ：18.2%  
男 ：81.8%</t>
  </si>
  <si>
    <t>18-23：25.7%
24-30：30.2%
31-40：33.5%</t>
  </si>
  <si>
    <t>Z世代：18.3%
新锐白领：21.6%
小镇青年：25.9%
精致妈妈：2.6%
资深中产：4.1%
都市蓝领：20.7%
小镇中老年：4%
都市银发：2.9%</t>
  </si>
  <si>
    <t>得物，OPPO、三星、五菱、魏牌蓝山、极狐、零跑、领克、东风本田、沱牌舍得、北汽、坦克、领克、林肯、YSL、长安</t>
  </si>
  <si>
    <t>连蜜.</t>
  </si>
  <si>
    <t>旅行向舞蹈类转场变装内容，融入文化传播，带你感受自然风光，内容质感强，植入场景丰富、空间大；男粉占比90.8%；适合文旅传播、汽车、3c数码、游戏、食品饮品类品牌植</t>
  </si>
  <si>
    <t>mumushibendan</t>
  </si>
  <si>
    <t>旅行、舞蹈、颜值</t>
  </si>
  <si>
    <t>https://v.douyin.com/YSFB7Vh/</t>
  </si>
  <si>
    <t>https://www.xingtu.cn/ad/creator/author-homepage/douyin-video/6846195326383030286?market_track_id=FOAXG3JNKY28QCQJUMNJ&amp;search_session_id=7506419512900763660&amp;video_type=2&amp;_route_from=from_page%3DMarket%26search_session_id%3D7506419512900763660%26is_for_order%3D1%26market_track_id%3DFOAXG3JNKY28QCQJUMNJ%26platform_source%3D1%26key%3D%25E8%25BF%259E%25E8%259C%259C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</si>
  <si>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6846195326383030286</t>
  </si>
  <si>
    <t>男：64.7%
女：35.3%</t>
  </si>
  <si>
    <t>18-23：36.6%
24-30：31.8%
31-40：23%</t>
  </si>
  <si>
    <t>Z世代：28%
新锐白领：19.2%
小镇青年：23.9%
精致妈妈：6%
资深中产：4.3%
都市蓝领：18.1%
小镇中老年：2.2%
都市银发：2%</t>
  </si>
  <si>
    <t>比亚迪、阿维塔、滴滴、康师傅、长安、原神、零跑汽车、大众、阿尔卑斯、安慕希、岚图、云上草原、华为、小米</t>
  </si>
  <si>
    <t>【颜值】</t>
  </si>
  <si>
    <t>大佬甜Giovanna</t>
  </si>
  <si>
    <t>魅力四射的欧美御姐，风格百变，在变装与美妆领域游刃有余，尤其是以惊艳众人的 AI 机器人形象火速出圈，极具塑造潜力，绽放独特光彩。</t>
  </si>
  <si>
    <t>颜值 COS 创意变装</t>
  </si>
  <si>
    <t>https://v.douyin.com/8bbdWJN/</t>
  </si>
  <si>
    <t>https://www.xingtu.cn/ad/creator/author-homepage/douyin-video/6629659903533252612?market_track_id=49QF5IG7N77EGGQ6BGXL&amp;search_session_id=7506428888890212371&amp;video_type=2&amp;_route_from=from_page%3DMarket%26search_session_id%3D7506428888890212371%26is_for_order%3D1%26market_track_id%3D49QF5IG7N77EGGQ6BGXL%26platform_source%3D1%26key%3D%25E5%25A4%25A7%25E4%25BD%25AC%25E7%2594%259CGiovann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</si>
  <si>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6629659903533252612</t>
  </si>
  <si>
    <t>男：63.4%
女：36.6%</t>
  </si>
  <si>
    <t>18-23：25.7%
24-30：23.6%
31-40：28.7%</t>
  </si>
  <si>
    <t>Z世代：23.8%
新锐白领：15.9%
小镇青年：23.4%
精致妈妈：2.3%
资深中产：4%
都市蓝领：15.9%
小镇中老年：7.5%
都市银发：7.1%</t>
  </si>
  <si>
    <t>京东、三星、凯迪拉克、千古情景区、MAC、韶音耳机、阿维塔、东风日产、领克、捷途、奔腾、长安、机械革命、岚图、坦克、荣耀</t>
  </si>
  <si>
    <t>雪蕊呀！</t>
  </si>
  <si>
    <t xml:space="preserve">颜值领域自媒体创作者
创作内容以发布个人颜值视频为主。邻家妹妹的风格吸引了众多网友的关注。
</t>
  </si>
  <si>
    <t>xrbb9520</t>
  </si>
  <si>
    <t>颜值</t>
  </si>
  <si>
    <t>https://v.douyin.com/idVsSMmU/</t>
  </si>
  <si>
    <t>https://www.xingtu.cn/ad/creator/author-homepage/douyin-video/6734527767246798860?market_track_id=WKVXPSL4IKRQJNQ4NM5M&amp;search_session_id=7506429136802496531&amp;video_type=2&amp;_route_from=from_page%3DMarket%26search_session_id%3D7506429136802496531%26is_for_order%3D1%26market_track_id%3DWKVXPSL4IKRQJNQ4NM5M%26platform_source%3D1%26key%3D%25E9%259B%25AA%25E8%2595%258A%25E5%2591%2580%25EF%25BC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</si>
  <si>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6734527767246798860</t>
  </si>
  <si>
    <t>男：87.8%
女：12.2%</t>
  </si>
  <si>
    <t>18-23：70.9%
24-30：19.7%
31-40：5.9%</t>
  </si>
  <si>
    <t>Z世代：51.6%
新锐白领：12%
小镇青年：23.1%
精致妈妈：0.6%
资深中产：0.7%
都市蓝领：10.9%
小镇中老年：0.7%
都市银发：0.5%</t>
  </si>
  <si>
    <t>YSL、五菱、星穹铁道、小米、香奈儿、蛋仔派对、京东、周大生、东风奕派、汉堡王、华为、东本、影石360</t>
  </si>
  <si>
    <t>成都/北京</t>
  </si>
  <si>
    <t>王情水</t>
  </si>
  <si>
    <t>情感向剧情内容，电影质感随拍，特写镜头直观感受情绪的表达，植入场景多、空间大；剧情承制经验丰富，女粉占比53.3%；适合全品类品牌植入</t>
  </si>
  <si>
    <t>https://v.douyin.com/hQeDxNC/</t>
  </si>
  <si>
    <t>https://www.xingtu.cn/ad/creator/author-homepage/douyin-video/6596679555342139396?market_track_id=BT0EEIGVJVDIVEW41ZGX&amp;search_session_id=7506429136803135507&amp;video_type=2&amp;_route_from=from_page%3DMarket%26search_session_id%3D7506429136803135507%26is_for_order%3D1%26market_track_id%3DBT0EEIGVJVDIVEW41ZGX%26platform_source%3D1%26key%3D%25E7%258E%258B%25E6%2583%2585%25E6%25B0%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</si>
  <si>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6596679555342139396</t>
  </si>
  <si>
    <t>男：46.3%
女：53.7%</t>
  </si>
  <si>
    <t>18-23：55.1%
24-30：26.9%
31-40：11.1%</t>
  </si>
  <si>
    <t>Z世代：36.8%
新锐白领：16.2%
小镇青年：26.4%
精致妈妈：3.6%
资深中产：1.2%
都市蓝领：12.3%
小镇中老年：1.9%
都市银发：1.7%</t>
  </si>
  <si>
    <t>蛋仔派对、欧莱雅、理然、李宁、太平鸟、百事、凌度、1664、波司登、科罗娜、华为、高梵、古茗</t>
  </si>
  <si>
    <t>豚豚SAMA</t>
  </si>
  <si>
    <t>具有高人气与影响力的头部游戏博主，覆盖游戏及 cosplay 等领域。达人受众定位精准，粉丝多为游戏爱好者与二次元文化追随者，消费潜力大，对游戏、电竞、动漫周边及潮流产品兴趣浓厚，品牌可精准触达目标客户。
豚豚甜美的形象，亲和幽默的性格，与粉丝互动良好，易获得粉丝信任，助力品牌塑造正面形象，提高产品推广效果。
视频合作形式多元，打造多样化广告模式 例如：模拟游戏直播切片（eg：永劫无间、晶核）、cosplay 短视频、产品植入（保eg：保健类-宝佳适）、定制剧情（eg：魔力宝贝复兴）等，可结合合作产品特点，提升广告趣味性与吸引力，避免生硬推广。除游戏外，数码3C、汽车、食饮皆可合作。</t>
  </si>
  <si>
    <t>游戏 日常、颜值</t>
  </si>
  <si>
    <t>https://v.douyin.com/SyqNhh3/</t>
  </si>
  <si>
    <t>https://www.xingtu.cn/ad/creator/author-homepage/douyin-video/6763253245738483715?market_track_id=C0I7KHGF451531MIIVWW&amp;search_session_id=7506416851413450764&amp;video_type=2&amp;_route_from=from_page%3DMarket%26search_session_id%3D7506416851413450764%26is_for_order%3D1%26market_track_id%3DC0I7KHGF451531MIIVWW%26platform_source%3D1%26key%3D%25E8%25B1%259A%25E8%25B1%259A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</si>
  <si>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6763253245738483715</t>
  </si>
  <si>
    <t>男：96.9%
女：3.1%</t>
  </si>
  <si>
    <t>18-23：43.6%
24-30：44.3%
31-40：10.8%</t>
  </si>
  <si>
    <t>Z世代：21.6%
新锐白领：25.1%
小镇青年：25.9%
精致妈妈：0.2%
资深中产：0.6%
都市蓝领：25.7%
小镇中老年：0.5%
都市银发：0.4%</t>
  </si>
  <si>
    <t>伊利、intoyou、Swisse、瑞幸、零跑、RIO、剑侠世界3、星球重启、三国志、永劫无间、问剑长生</t>
  </si>
  <si>
    <t>是腿腿耶</t>
  </si>
  <si>
    <t>高质感的视频，超高的颜值博主，众多的男粉占比，达人配合度高，合作过荣威、东风、阿迪达斯、益禾堂、台铃电动车、我是大东家、战火勋章、东风等品牌</t>
  </si>
  <si>
    <t>stty000316</t>
  </si>
  <si>
    <t>https://v.douyin.com/U7hrxCa/</t>
  </si>
  <si>
    <t>https://www.xingtu.cn/ad/creator/author-homepage/douyin-video/6791920181795880967?market_track_id=IM3U27N5TPWIQ7CVV1N0&amp;search_session_id=7506429437123608587&amp;video_type=2&amp;_route_from=from_page%3DMarket%26search_session_id%3D7506429437123608587%26is_for_order%3D1%26market_track_id%3DIM3U27N5TPWIQ7CVV1N0%26platform_source%3D1%26key%3D%25E6%2598%25AF%25E8%2585%25BF%25E8%2585%25BF%25E8%2580%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</si>
  <si>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6791920181795880967</t>
  </si>
  <si>
    <t>男：86%
女：14%</t>
  </si>
  <si>
    <t>18-23：40.4%
24-30：34%
31-40：20.6%</t>
  </si>
  <si>
    <t>Z世代：25.8%
新锐白领：26.2%
小镇青年：23.2%
精致妈妈：1.2%
资深中产：2.8%
都市蓝领：18.4%
小镇中老年：1.4%
都市银发：1%</t>
  </si>
  <si>
    <t>荣威、东风、阿迪达斯、益禾堂、台铃电动车、我是大东家、战火勋章、东风、伊利、奇瑞icar、嘉士伯</t>
  </si>
  <si>
    <t>保琳球有点胖</t>
  </si>
  <si>
    <t>美丽性感小姐姐，擅长跳性感小舞。日常以氛围感泛娱乐随拍内容为主。
年轻男粉占比居高，月度连接总用户数 339.8w，环比 +133.3%，位于行业内 TOP 20%。星图内容一级标签为汽车，适合汽车、数码等男性向产品推广。
城市前三位广州、北京、深圳，一线城市粉丝居多，有较强的购买力。</t>
  </si>
  <si>
    <t>baolinqiu997</t>
  </si>
  <si>
    <t>https://v.douyin.com/iJCV86d/</t>
  </si>
  <si>
    <t>https://www.xingtu.cn/ad/creator/author-homepage/douyin-video/6942543953501618190?market_track_id=QX6ICE89U286JW02WLSZ&amp;search_session_id=7506429594061242407&amp;video_type=2&amp;_route_from=from_page%3DMarket%26search_session_id%3D7506429594061242407%26is_for_order%3D1%26market_track_id%3DQX6ICE89U286JW02WLSZ%26platform_source%3D1%26key%3D%25E4%25BF%259D%25E7%2590%25B3%25E7%2590%2583%25E6%259C%2589%25E7%2582%25B9%25E8%2583%2596%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</si>
  <si>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6942543953501618190</t>
  </si>
  <si>
    <t>男：93.5%
女：6.5%</t>
  </si>
  <si>
    <t>18-23：44.1%
24-30：38.9%
31-40：14.7%</t>
  </si>
  <si>
    <t>Z世代：25.8%
新锐白领：28.6%
小镇青年：21.2%
精致妈妈：0.4%
资深中产：1.5%
都市蓝领：21.4%
小镇中老年：0.7%
都市银发：0.5%</t>
  </si>
  <si>
    <t>得物、拼多多、穿越火线、比亚迪、昊铂、明日之后、东本思域、得物</t>
  </si>
  <si>
    <t>广州</t>
  </si>
  <si>
    <t>一醒</t>
  </si>
  <si>
    <t>“短发天花板”，以生活片段与穿搭造型为核心内容，治愈笑容与独特气质圈粉无数，单条视频最高获赞184.4万。内容兼具质感与传播力，适配美妆、服饰、生活方式等品类，助力品牌高效触达年轻受众。</t>
  </si>
  <si>
    <t>yixing22</t>
  </si>
  <si>
    <t>https://v.douyin.com/EYsYmOl35_o/</t>
  </si>
  <si>
    <t>https://www.xingtu.cn/ad/creator/author-homepage/douyin-video/6950547741772611621?market_track_id=TNBIOM0X2B5CFEY1M52H&amp;search_session_id=7555809283087810599&amp;possessStarId</t>
  </si>
  <si>
    <t>6950547741772611621</t>
  </si>
  <si>
    <t>男：92.6%
女：7.4%</t>
  </si>
  <si>
    <t>18-23：26.8%
24-30：41.8%
31-40：27.4%</t>
  </si>
  <si>
    <t>Z世代：15.3%
新锐白领：42.2%
小镇青年：19.4%
精致妈妈：0.8%
资深中产：2.9%
都市蓝领：17%
小镇中老年：1.3%
都市银发：1.1%</t>
  </si>
  <si>
    <t>TF、YSL、三星、VIVO、雅迪、MLB</t>
  </si>
  <si>
    <t>VV</t>
  </si>
  <si>
    <t>视频风格清新自然，感染力强，能与粉丝建立深厚情感连接。其星图广告可精准触达目标受众，凭借高互动率和优质内容，为品牌实现高效传播与转化，是您推广品牌的优质选择。</t>
  </si>
  <si>
    <t>wyj0812</t>
  </si>
  <si>
    <t>https://v.douyin.com/eNCSeHH/</t>
  </si>
  <si>
    <t>https://www.xingtu.cn/ad/creator/author-homepage/douyin-video/6870160411379892231?market_track_id=Q5M20T2PEK2M1R5YASOU&amp;search_session_id=7550219414239985705&amp;possessStarId</t>
  </si>
  <si>
    <t>6870160411379892231</t>
  </si>
  <si>
    <t>微博</t>
  </si>
  <si>
    <t>男：66.1%
女：33.9%</t>
  </si>
  <si>
    <t>18-23：57.7%
24-30：27.5%
31-40：11.2%</t>
  </si>
  <si>
    <t>Z世代：39.3%
新锐白领：19.4%
小镇青年：22%
精致妈妈：2%
资深中产：1.1%
都市蓝领：14.6%
小镇中老年：0.9%
都市银发：0.8%</t>
  </si>
  <si>
    <t>迪奥、娇韵诗、伊利、MAC、沪上阿姨、原神启动、TF、比亚迪、coach、1664</t>
  </si>
  <si>
    <t>小葛</t>
  </si>
  <si>
    <t>东北爱健身的大男孩，身材好；擅长反差感变装，新锐白领占比高，适合各类产品植入</t>
  </si>
  <si>
    <t>xiaoge001216</t>
  </si>
  <si>
    <t>颜值、身材</t>
  </si>
  <si>
    <t>https://v.douyin.com/iDDaWpJE/ 8@1.com :1pm</t>
  </si>
  <si>
    <t>https://www.xingtu.cn/ad/creator/author-homepage/douyin-video/6870166999796809741?market_track_id=P73HQ4QJ099QMC8KICTS&amp;search_session_id=7506430366560682038&amp;video_type=2&amp;_route_from=from_page%3DMarket%26search_session_id%3D7506430366560682038%26is_for_order%3D1%26market_track_id%3DP73HQ4QJ099QMC8KICTS%26platform_source%3D1%26key%3D%25E8%258E%25AB%25E5%25BE%2597%25E6%2584%259F%25E6%2583%2585%25E7%259A%2584%25E5%25B0%258F%25E8%2591%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</si>
  <si>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6870166999796809741</t>
  </si>
  <si>
    <t>男：25.2%   
女：74.8%</t>
  </si>
  <si>
    <t>18-23：14.6%
24-30：34.5%
31-40：42.8%</t>
  </si>
  <si>
    <t>Z世代：7.6%
新锐白领：19.5%
小镇青年：26.4%
精致妈妈：15.3%
资深中产：5.7%
都市蓝领：20.2%
小镇中老年：3.9%
都市银发：1.5%</t>
  </si>
  <si>
    <t>小四四🍒</t>
  </si>
  <si>
    <t>颜值类达人，成熟优雅的知性魅力，通过传达及妆容展示自己的心得。</t>
  </si>
  <si>
    <t>Siye0826</t>
  </si>
  <si>
    <t>https://v.douyin.com/i6jrprmo/ 5@2.com</t>
  </si>
  <si>
    <t>https://www.xingtu.cn/ad/creator/author-homepage/douyin-video/6611303266019966990?market_track_id=YZBLXF6ASWYQTM5LXYSG&amp;search_session_id=7506430525411033127&amp;video_type=2&amp;_route_from=from_page%3DMarket%26search_session_id%3D7506430525411033127%26is_for_order%3D1%26market_track_id%3DYZBLXF6ASWYQTM5LXYSG%26platform_source%3D1%26key%3D%25E5%25B0%258F%25E5%259B%259B%25E5%259B%259B%25F0%259F%258D%2592%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</si>
  <si>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6611303266019966990</t>
  </si>
  <si>
    <t>男：19.8%
女：80.2%</t>
  </si>
  <si>
    <t>18-23：73.6%
24-30：20%
31-40：3.5%</t>
  </si>
  <si>
    <t>Z世代：46.9%
新锐白领：9.3%
小镇青年：26.9%
精致妈妈：2.3%
资深中产：0.3%
都市蓝领：12.9%
小镇中老年：0.7%
都市银发：0.5%</t>
  </si>
  <si>
    <t>抖音好物节、鲜菲乐、可颂</t>
  </si>
  <si>
    <t>小蒋同学</t>
  </si>
  <si>
    <t>形象亲切自然，视频风格真实接地气，能与观众建立良好的情感连接。其粉丝群体活跃度较高，对内容的接受度和信任度也较高，适合品牌通过他来进行产品推广和品牌宣传。</t>
  </si>
  <si>
    <t>颜值、健身</t>
  </si>
  <si>
    <t>https://v.douyin.com/l48-W0BWH2c/</t>
  </si>
  <si>
    <t>https://www.xingtu.cn/ad/creator/author-homepage/douyin-video/7488959372198936602?market_track_id=VWMFFQNDTW0BCBDHKNN4&amp;search_session_id=7506431099029028876&amp;video_type=2&amp;_route_from=from_page%3DMarket%26search_session_id%3D7506431099029028876%26is_for_order%3D1%26market_track_id%3DVWMFFQNDTW0BCBDHKNN4%26platform_source%3D1%26key%3D%25E5%25B0%258F%25E8%2592%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</si>
  <si>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7488959372198936602</t>
  </si>
  <si>
    <t>男：31.7%
女：68.3%</t>
  </si>
  <si>
    <t>18-23：53.3%
24-30：22%
31-40：15.8%</t>
  </si>
  <si>
    <t>Z世代：42%
新锐白领：11.5%
小镇青年：24.9%
精致妈妈：3.9%
资深中产：1.8%
都市蓝领：12.3%
小镇中老年：2.1%
都市银发：1.5%</t>
  </si>
  <si>
    <t>【美妆护肤】</t>
  </si>
  <si>
    <t>金陵奇怪的烧饼</t>
  </si>
  <si>
    <t>校园妆容改造达人，一句“这是张若好”，带各位观众和粉丝走进她的美妆时间</t>
  </si>
  <si>
    <t>美妆改造</t>
  </si>
  <si>
    <t>https://v.douyin.com/iJPnedXN/</t>
  </si>
  <si>
    <t>https://www.xingtu.cn/ad/creator/author-homepage/douyin-video/7060481079546740749?market_track_id=2WEXY9CC3S5R884QCM1F&amp;search_session_id=7506420928160284711&amp;video_type=2&amp;_route_from=from_page%3DMarket%26search_session_id%3D7506420928160284711%26is_for_order%3D1%26market_track_id%3D2WEXY9CC3S5R884QCM1F%26platform_source%3D1%26key%3D%25E9%2587%2591%25E9%2599%25B5%25E5%25A5%2587%25E6%2580%25AA%25E7%259A%2584%25E7%2583%25A7%25E9%25A5%25B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</si>
  <si>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7060481079546740749</t>
  </si>
  <si>
    <t>男：8.5%
女：91.5%</t>
  </si>
  <si>
    <t>18-23：84.5%
24-30：6%
31-40：3.4%</t>
  </si>
  <si>
    <t>Z世代：74.3%
新锐白领：3.8%
小镇青年：13.9%
精致妈妈：0.4%
资深中产：0.4%
都市蓝领：6.1%
小镇中老年：0.5%
都市银发：0.6%</t>
  </si>
  <si>
    <t>MAC、OLAY、施华蔻、欧莱雅、得物、淘宝、OPPO、京东、理肤泉、花西子、丝芙兰、MAC、拼多多、适乐肤、豆包、修丽可、海昌</t>
  </si>
  <si>
    <t>张什什</t>
  </si>
  <si>
    <t>美妆达人，能驾驭多种美妆风格，满足观众多样化审美需求，同时也能推荐用户找到适合的产品。</t>
  </si>
  <si>
    <t>qn20010531</t>
  </si>
  <si>
    <t>美妆 好物分享</t>
  </si>
  <si>
    <t>https://v.douyin.com/iLnMvpHr/</t>
  </si>
  <si>
    <t>https://www.xingtu.cn/ad/creator/author-homepage/douyin-video/6629660072450457603?market_track_id=JME3Y2ESKQDD9EPJYTQN&amp;search_session_id=7506420419478552587&amp;video_type=2&amp;_route_from=from_page%3DMarket%26search_session_id%3D7506420419478552587%26is_for_order%3D1%26market_track_id%3DJME3Y2ESKQDD9EPJYTQN%26platform_source%3D1%26key%3D%25E5%25BC%25A0%25E4%25BB%2580%25E4%25BB%2580%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</si>
  <si>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6629660072450457603</t>
  </si>
  <si>
    <t>男：75.9%
女：24.2%</t>
  </si>
  <si>
    <t>18-23：50.5%
24-30：35.1%
31-40：11.3%</t>
  </si>
  <si>
    <t>Z世代：29.3%
新锐白领：25%
小镇青年：21.3%
精致妈妈：1.6%
资深中产：1%
都市蓝领：20%
小镇中老年：0.9%
都市银发：0.9%</t>
  </si>
  <si>
    <t>雅诗兰黛、TF、YSL、植村秀、海蓝之谜、卡诗、戴森、有棵树、欧莱雅、HBN、艾维岚、华为</t>
  </si>
  <si>
    <t>张若好</t>
  </si>
  <si>
    <t>高能量女大学生、精通各种化妆技能、日常分享各种彩妆护肤穿搭好物，氛围感变装小美女。
粉丝人群精准，主要以年轻女性为主，大学生居多。尤其适合各种平价变美产品。
内容数据好、性价比高、粉丝粘性很高，连接用户及粉丝持续增长中，有一定带货属性。</t>
  </si>
  <si>
    <t>美妆 购物分享</t>
  </si>
  <si>
    <t>https://v.douyin.com/iJPnXVxk/</t>
  </si>
  <si>
    <t>https://www.xingtu.cn/ad/creator/author-homepage/douyin-video/7180709870071447609?market_track_id=PIEB08Z2JMFWPHSRFLIW&amp;search_session_id=7506421047202578443&amp;video_type=2&amp;_route_from=from_page%3DMarket%26search_session_id%3D7506421047202578443%26is_for_order%3D1%26market_track_id%3DPIEB08Z2JMFWPHSRFLIW%26platform_source%3D1%26key%3D%25E5%25BC%25A0%25E8%258B%25A5%25E5%25A5%25B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</si>
  <si>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7180709870071447609</t>
  </si>
  <si>
    <t>合集单坑18000</t>
  </si>
  <si>
    <t>男：14.7%
女：85.3%</t>
  </si>
  <si>
    <t>18-23：73.3%
24-30：8.5%
31-40：7.8%</t>
  </si>
  <si>
    <t>Z世代：63.8%
新锐白领：3.8%
小镇青年：24.8%
精致妈妈：0.7%
资深中产：0.6%
都市蓝领：4.4%
小镇中老年：1.1%
都市银发：0.8%</t>
  </si>
  <si>
    <t>彩棠、七度空间、膜法世家、瑷尔博士、法珀、珂润、谷雨、雕牌、心相印、可啦啦美瞳、沙宣、好想来、iPhone、OLAY、</t>
  </si>
  <si>
    <t>【段子/生活】</t>
  </si>
  <si>
    <t>我是小程同学</t>
  </si>
  <si>
    <t>头部博主，烟嗓美女小程在线玩梗，颜值与搞笑并存，视频风格多样，达人表现能力极强，内容创意十足。产品植入内容场景丰富，数据优秀，适合全品类植入。</t>
  </si>
  <si>
    <t>A299_299</t>
  </si>
  <si>
    <t>颜值 搞笑</t>
  </si>
  <si>
    <t>https://v.douyin.com/ieJE8VSW/</t>
  </si>
  <si>
    <t>https://www.xingtu.cn/ad/creator/author-homepage/douyin-video/6765376911481765895?market_track_id=1KKSMRVM7CQC1GZEHIJS&amp;search_session_id=7506421245673291830&amp;video_type=2&amp;_route_from=from_page%3DMarket%26search_session_id%3D7506421245673291830%26is_for_order%3D1%26market_track_id%3D1KKSMRVM7CQC1GZEHIJS%26platform_source%3D1%26key%3D%25E6%2588%2591%25E6%2598%25AF%25E5%25B0%258F%25E7%25A8%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</si>
  <si>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6765376911481765895</t>
  </si>
  <si>
    <t>男 ：75%
女 ：25%</t>
  </si>
  <si>
    <t>18-23：49.2%
24-30：29.1%
31-40：16.4%</t>
  </si>
  <si>
    <t>Z世代：37.2%
新锐白领：13.3%
小镇青年：28.2%
精致妈妈：1.3%
资深中产：1.3%
都市蓝领：16.3%
小镇中老年：1.5%
都市银发：0.9%</t>
  </si>
  <si>
    <t>小米、伊利、无畏契约、奇瑞、名创优品、宝骏悦也、梦幻西游、五菱、三角洲行动、OPPO、苏菲、永劫无间、蛋仔派对、百事可乐、理想、坦克</t>
  </si>
  <si>
    <t>重庆/成都</t>
  </si>
  <si>
    <t>李里</t>
  </si>
  <si>
    <t>内容以创意制作与猎奇搞笑为核心，互动率稳居行业前列。其表演功底深厚，跨媒介适配能力突出，擅长将品牌自然融入趣味内容，过往合作曾带动产品转化率飙升300%。配合度高、创作效率优，能快速精准触达目标受众，是星图广告合作的优质之选，助力品牌实现声量与销量双爆发。</t>
  </si>
  <si>
    <t>LILI800</t>
  </si>
  <si>
    <t>段子 剧情</t>
  </si>
  <si>
    <t>https://v.douyin.com/YnUjViz55N4/</t>
  </si>
  <si>
    <t>https://www.xingtu.cn/ad/creator/author-homepage/douyin-video/6716888711335772164?market_track_id=IFYOO8BHE9JNSSK8UBE6&amp;search_session_id=7571704554984472619&amp;possessStarId</t>
  </si>
  <si>
    <t>6716888711335772164</t>
  </si>
  <si>
    <t>男：71.6%
女：28.4%</t>
  </si>
  <si>
    <t>18-23：29.5%
24-30：22.2%
31-40：27.7%</t>
  </si>
  <si>
    <t>Z世代：33.5%
新锐白领：12%
小镇青年：26.8%
精致妈妈：1.7%
资深中产：2.9%
都市蓝领：13.5%
小镇中老年：5.1%
都市银发：4.5%</t>
  </si>
  <si>
    <t>阿维塔、零跑、美团、vivo、元气森林、懂车帝、岚图、理想</t>
  </si>
  <si>
    <t>麦小兜</t>
  </si>
  <si>
    <t>自出道以来，勇于大胆尝试多元化曲风的演绎和突破，如甜美路线的《ok歌》，二次元向的《猪猪女孩》，都取得不错的成绩。在她推出个人单曲《9420》后，更凭借其甜美动人的声线和可爱的个人形象，短期内便吸引了众多粉丝的关注和支持。</t>
  </si>
  <si>
    <t>Yolo21Dou</t>
  </si>
  <si>
    <t>日常、段子</t>
  </si>
  <si>
    <t>https://v.douyin.com/9AFkA0NTkFQ/</t>
  </si>
  <si>
    <t>https://www.xingtu.cn/ad/creator/author-homepage/douyin-video/6629722298792280068?market_track_id=ALE4EJ3WE9UOCFVX4NC4&amp;search_session_id=7532380290833645604&amp;possessStarId</t>
  </si>
  <si>
    <t>6629722298792280068</t>
  </si>
  <si>
    <t>18-23：37.3%
24-30：43.1%
31-40：15.8%</t>
  </si>
  <si>
    <t>Z世代：25.6%
新锐白领：16.1%
小镇青年：27.3%
精致妈妈：1.2%
资深中产：0.8%
都市蓝领：26.9%
小镇中老年：1.3%
都市银发：0.9%</t>
  </si>
  <si>
    <t>美团</t>
  </si>
  <si>
    <t>北鼻小天</t>
  </si>
  <si>
    <t>剧情段子赛道达人，以建模脸颜值吸睛，深耕反差剧情与生活向内容，单条视频最高获赞237.6万，女粉占比高。综艺感拉满，曾受邀录制湖南卫视综艺并成功通关，风格兼具杂志质感与搞笑张力，适配美妆、时尚、生活方式等多品类合作，商务响应高效。</t>
  </si>
  <si>
    <t>TianT0625</t>
  </si>
  <si>
    <t>剧情、搞笑</t>
  </si>
  <si>
    <t>https://v.douyin.com/S2jDbCK/</t>
  </si>
  <si>
    <t>https://www.xingtu.cn/ad/creator/author-homepage/douyin-video/6870170834816729101?market_track_id=SXJQ9HB0BYQ19L881TOF&amp;search_session_id=7506429719941808191&amp;video_type=2&amp;_route_from=from_page%3DMarket%26search_session_id%3D7506429719941808191%26is_for_order%3D1%26market_track_id%3DSXJQ9HB0BYQ19L881TOF%26platform_source%3D1%26key%3D%25E5%258C%2597%25E9%25BC%25BB%25E5%25B0%258F%25E5%25A4%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</si>
  <si>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6870170834816729101</t>
  </si>
  <si>
    <t>男 ：86.1%
女 ：13.9%</t>
  </si>
  <si>
    <t>18-23：41.5%
24-30：31.4%
31-40：19.6%</t>
  </si>
  <si>
    <t>z世代：40.6%
小镇青年：26.1%
精致妈妈：1.2%
新锐白领：11.8%
都市蓝领：16%
小镇中老年：1.7%
资深中产：1.4%
都市银发：1.2%</t>
  </si>
  <si>
    <t>王者、moody、realme真我手机、TF、原神、梦幻西游、长安深蓝、奇瑞icar、得物、坦克、三角洲、华为、美团</t>
  </si>
  <si>
    <t>娜扎分渣</t>
  </si>
  <si>
    <t>聚焦泛生活恋爱情景，《约会实战篇》等合集播放破亿，精准触达18-35岁女性核心受众。内容原生感强、种草属性突出，粉丝购买力不俗，过往合作转化率表现亮眼。账号风格贴近生活，广告融入自然不违和，是美妆、穿搭、婚恋相关品牌星图合作的优质之选。</t>
  </si>
  <si>
    <t>段子、颜值</t>
  </si>
  <si>
    <t>https://v.douyin.com/bwEB4nNFwkw/</t>
  </si>
  <si>
    <t>https://www.xingtu.cn/ad/creator/author-homepage/douyin-video/7021345477824086023?market_track_id=11PZ14U0SM90UR985ZXZ&amp;search_session_id=7576943175823179812&amp;possessStarId&amp;active_tab=content_performance&amp;active_module=.content-video-list-panel&amp;content_key_word=%E5%A8%9C%E6%89%8E%E5%88%86%E6%B8%A3</t>
  </si>
  <si>
    <t>7021345477824086023</t>
  </si>
  <si>
    <t>快手 视频号</t>
  </si>
  <si>
    <t>男 ：30.7%
女 ：69.3%</t>
  </si>
  <si>
    <t>18-23：40.2%
24-30：34.1%
31-40：20.3%</t>
  </si>
  <si>
    <t>Z世代：23.3%
新锐白领：18.7%
小镇青年：38.2%
精致妈妈：5.6%
资深中产：1.8%
都市蓝领：9.2%
小镇中老年：2.4%
都市银发：0.7%</t>
  </si>
  <si>
    <t>MAC、薇诺娜、欧莱雅、徕芬、花西子、美团</t>
  </si>
  <si>
    <t>成都
北京</t>
  </si>
  <si>
    <t>侯博_</t>
  </si>
  <si>
    <t>内容播放、互动数据亮眼，传播力强。视频风格独特，垂直深耕，对粉丝吸引力大。沟通配合度高，创意能力出众，能完美契合需求，产出优质内容，是合作的不二之选。</t>
  </si>
  <si>
    <t>houbo0024</t>
  </si>
  <si>
    <t>段子、搞笑</t>
  </si>
  <si>
    <t>https://v.douyin.com/i5boShFY/</t>
  </si>
  <si>
    <t>https://www.xingtu.cn/ad/creator/author-homepage/douyin-video/6818363824530259981?market_track_id=GAK8PLETEK3HVV75L1IZ&amp;search_session_id=7506421950762696715&amp;video_type=2&amp;_route_from=from_page%3DMarket%26search_session_id%3D7506421950762696715%26is_for_order%3D1%26market_track_id%3DGAK8PLETEK3HVV75L1IZ%26platform_source%3D1%26key%3D%25E4%25BE%25AF%25E5%258D%259A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</si>
  <si>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6818363824530259981</t>
  </si>
  <si>
    <t>男：20.4%
女：79.6%</t>
  </si>
  <si>
    <t>18-23：45%
24-30：15.3%
31-40：18.4%</t>
  </si>
  <si>
    <t>Z世代：47.7%
新锐白领：6.2%
小镇青年：25.9%
精致妈妈：2.1%
资深中产：1.3%
都市蓝领：10.3%
小镇中老年：3.3%
都市银发：3.1%</t>
  </si>
  <si>
    <t>usmile、麦当劳、淘宝、可爱多、林里柠檬茶、脉动、芬达、美团、肯德基、蒙牛、元宝、华为、Olay、霸王茶姬</t>
  </si>
  <si>
    <t>孙博士讲英语</t>
  </si>
  <si>
    <t>于2010年博士毕业。从2005年开始英语教学，20年英语教学经验。用讲段子的方式让大家熟练掌握英语的运用。沟通配合度高，创意能力出众，能完美契合客户需求。</t>
  </si>
  <si>
    <t>danshuisihan</t>
  </si>
  <si>
    <t>https://v.douyin.com/bHqAlsCKcIw/</t>
  </si>
  <si>
    <t>https://www.xingtu.cn/ad/creator/author-homepage/douyin-video/7548699303942832174?market_track_id=A1GVOKQQEDPMPOB3NZJQ&amp;search_session_id=7567378003446431795&amp;possessStarId</t>
  </si>
  <si>
    <t>7548699303942832174</t>
  </si>
  <si>
    <t>视频号 小红书 快手</t>
  </si>
  <si>
    <t>男 ：27.5%
女 ：72.5%</t>
  </si>
  <si>
    <t>18-23：5.7%
24-30：23.3%
31-40：52.4%</t>
  </si>
  <si>
    <t>z世代：4.3%
小镇青年：21.7%
精致妈妈：19.4%
新锐白领：17.1%
都市蓝领：14.3%
小镇中老年：7.3%
资深中产：8.9%
都市银发：6.9%</t>
  </si>
  <si>
    <t>寒雪老师AI家教机、学丞教育</t>
  </si>
  <si>
    <t>长春</t>
  </si>
  <si>
    <t>张九九</t>
  </si>
  <si>
    <t>视频以搞笑的日常生活为主要创作方向，幽默风趣的展现方式极易引发观众的共鸣和欢乐，这种轻松诙谐的内容氛围能够为合作品牌营造出亲民、活泼的形象，有效拉近品牌与消费者的距离，使品牌推广更具亲和力。
观众年龄集中在 18-23 岁（28.8%）和 24 - 30 岁（50.4%），多分布于湖南、广东、浙江等省份。这部分年轻且具有一定消费能力的粉丝群体，对于食品饮料、3C 及电器、本地生活、汽车、工具类软件、餐饮服务等行业的产品有着较高的兴趣和需求，能够为相关品牌提供精准的营销受众，极大提高品牌推广的转化率。</t>
  </si>
  <si>
    <t>zhangnv99</t>
  </si>
  <si>
    <t>https://v.douyin.com/iSSP2279/ 2@2.com</t>
  </si>
  <si>
    <t>https://www.xingtu.cn/ad/creator/author-homepage/douyin-video/6843212354792980493?market_track_id=RG69PPQ1KDPGXJYV1UTS&amp;search_session_id=7506421678910603318&amp;video_type=2&amp;_route_from=from_page%3DMarket%26search_session_id%3D7506421678910603318%26is_for_order%3D1%26market_track_id%3DRG69PPQ1KDPGXJYV1UTS%26platform_source%3D1%26key%3D%25E4%25B9%259D%25E4%25B9%259D%25E6%2588%2591%25E5%2595%258A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</si>
  <si>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6843212354792980493</t>
  </si>
  <si>
    <t>男：72.9%
女：27.1%</t>
  </si>
  <si>
    <t>18-23：26.7%
24-30：28.5%
31-40：29%</t>
  </si>
  <si>
    <t>Z世代：20%
新锐白领：20.4%
小镇青年：22.3%
精致妈妈：3.5%
资深中产：3.2%
都市蓝领：18.5%
小镇中老年：6.5%
都市银发：5.6%</t>
  </si>
  <si>
    <t>豆包app、百加得、RIO、书亦烧仙草、百利得、雪碧、果汁源、KKV、小郎酒、元气森林、百加得、劲酒、美的、Prada、vivo</t>
  </si>
  <si>
    <t>长沙</t>
  </si>
  <si>
    <t>歪老板在干嘛？</t>
  </si>
  <si>
    <t>泛生活领域优质创作者，高赞作品达20.8万赞。内容聚焦日常互动，风格鲜活接地气，与“老辈子”的趣味互动极具记忆点。粉丝粘性强，适配快消、家居等多类生活场景品牌，转化潜力可观。</t>
  </si>
  <si>
    <t>https://v.douyin.com/X59bTLxsw30/</t>
  </si>
  <si>
    <t>https://www.xingtu.cn/ad/creator/author-homepage/douyin-video/7407743938431287347?market_track_id=6VJJY5F6E3FS3YS952O9&amp;search_session_id=7566145823580274730&amp;possessStarId</t>
  </si>
  <si>
    <t>7407743938431287347</t>
  </si>
  <si>
    <t>男：85.1%
女：14.9%</t>
  </si>
  <si>
    <t>18-23：34.9%
24-30：30.4%
31-40：24.1%</t>
  </si>
  <si>
    <t>Z世代：24.4%
新锐白领：17.3%
小镇青年：23.4%
精致妈妈：0.8%
资深中产：2.5%
都市蓝领：24.5%
小镇中老年：3.7%
都市银发：3.4%</t>
  </si>
  <si>
    <t>重庆啤酒、永辉超市、三国</t>
  </si>
  <si>
    <t>比格费西</t>
  </si>
  <si>
    <t>川普RAP魔性洗脑，方言梗视频平均转发量8w+。适合打造本地文化热梗营销，或快消品定制方言广告歌，利用语言特色强化记忆点，破圈下沉市场。</t>
  </si>
  <si>
    <t>bigefeixi</t>
  </si>
  <si>
    <t>音乐、段子</t>
  </si>
  <si>
    <t>https://v.douyin.com/evchkkA/</t>
  </si>
  <si>
    <t>https://www.xingtu.cn/ad/creator/author-homepage/douyin-video/6678504237074219021?market_track_id=D13CLSKP8FWFDVFPETW1&amp;search_session_id=7506418842764115980&amp;video_type=2&amp;_route_from=from_page%3DMarket%26search_session_id%3D7506418842764115980%26is_for_order%3D1%26market_track_id%3DD13CLSKP8FWFDVFPETW1%26platform_source%3D1%26key%3D%25E6%25AF%2594%25E6%25A0%25BC%25E8%25B4%25B9%25E8%25A5%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</si>
  <si>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6678504237074219021</t>
  </si>
  <si>
    <t>男：51.4%
女：48.6%</t>
  </si>
  <si>
    <t>24-30：16.3%
31-40：26%
41-50：35.8%</t>
  </si>
  <si>
    <t>Z世代：11.4%
新锐白领：16%
小镇青年：24.9%
精致妈妈：7%
资深中产：6.7%
都市蓝领：17.4%
小镇中老年：9.4%
都市银发：7.3%</t>
  </si>
  <si>
    <t>五粮液、郑州日产、长安汽车、圣酒玉玺、荣威、王者荣耀、瑞丽特干葡萄酒、金六福酒、食魂火锅底料、长虹、舍得</t>
  </si>
  <si>
    <t>一根藤上五朵花</t>
  </si>
  <si>
    <t>校园搞笑日常内容，轻松解压的下饭内容，让你在繁忙的工作中能喘口气，植入场景丰富、空间大；女粉占比61.9%；适合全品类品牌植入</t>
  </si>
  <si>
    <t>wuduohuahua</t>
  </si>
  <si>
    <t>https://v.douyin.com/FSHKXaa/</t>
  </si>
  <si>
    <t>https://www.xingtu.cn/ad/creator/author-homepage/douyin-video/7054120952338055205?market_track_id=FKDIAR06NAK77FX5SDBW&amp;search_session_id=7506424158482841612&amp;video_type=2&amp;_route_from=from_page%3DMarket%26search_session_id%3D7506424158482841612%26is_for_order%3D1%26market_track_id%3DFKDIAR06NAK77FX5SDBW%26platform_source%3D1%26key%3D%25E4%25B8%2580%25E6%25A0%25B9%25E8%2597%25A4%25E4%25B8%258A%25E4%25BA%2594%25E6%259C%25B5%25E8%258A%25B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</si>
  <si>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7054120952338055205</t>
  </si>
  <si>
    <t>男：48.1%
女：51.9%</t>
  </si>
  <si>
    <t>18-23：43.6%
24-30：25.2%
31-40：19.1%</t>
  </si>
  <si>
    <t>Z世代：32.1%
新锐白领：11.5%
小镇青年：26.2%
精致妈妈：4.3%
资深中产：1.6%
都市蓝领：16.7%
小镇中老年：4%
都市银发：3.7%</t>
  </si>
  <si>
    <t>蛋仔派对、新奇士</t>
  </si>
  <si>
    <t>一个幽灵</t>
  </si>
  <si>
    <t>以幽默有趣的段子方式，解说演绎曾经让人刻骨铭心的历史场景，达人配合度高，专业性强，适合食品饮料、3C数码、游戏等植入。</t>
  </si>
  <si>
    <t>解说、段子</t>
  </si>
  <si>
    <t>https://v.douyin.com/ijjdY42F/</t>
  </si>
  <si>
    <t>https://www.xingtu.cn/ad/creator/author-homepage/douyin-video/7313479684807720997?market_track_id=ALH7D0J6JFUEFDK6KAID&amp;search_session_id=7506424265248751679&amp;video_type=2&amp;_route_from=from_page%3DMarket%26search_session_id%3D7506424265248751679%26is_for_order%3D1%26market_track_id%3DALH7D0J6JFUEFDK6KAID%26platform_source%3D1%26key%3D%25E4%25B8%2580%25E4%25B8%25AA%25E5%25B9%25BD%25E7%2581%25B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</si>
  <si>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7313479684807720997</t>
  </si>
  <si>
    <t>男 ：85.5%
女 ：14.5%</t>
  </si>
  <si>
    <t>18-23：39.8%
24-30：25.7%
31-40：20.6%</t>
  </si>
  <si>
    <t>Z世代：31.5%
新锐白领：16.8%
小镇青年：22.8%
精致妈妈：1.1%
资深中产：3.6%
都市蓝领：15.5%
小镇中老年：4.5%
都市银发：4.2%</t>
  </si>
  <si>
    <t>豆包APP、QCY耳机、转转、三国志、爱回收、逆水寒、58同城、永劫无间、时光大爆炸、偃武S3、九牧之野</t>
  </si>
  <si>
    <t>杰之爱ing</t>
  </si>
  <si>
    <t>用生活化的镜头捕捉祖孙间的趣味互动，既有接地气的家庭烟火气，又藏着戳中人心的温情笑点。粉丝黏性强，受众覆盖全年龄段，尤其打动注重亲情、喜爱治愈内容的用户。品牌植入自然不违和，能快速拉近与消费者的距离，实现高效转化！</t>
  </si>
  <si>
    <t>lyj2081009969</t>
  </si>
  <si>
    <t>https://v.douyin.com/UppQ41r130A/</t>
  </si>
  <si>
    <t>https://www.xingtu.cn/ad/creator/author-homepage/douyin-video/7421456107962368035?market_track_id=K01Z0FZ5DRR53BHT7OPI&amp;search_session_id=7582861478090899475&amp;possessStarId</t>
  </si>
  <si>
    <t>7421456107962368035</t>
  </si>
  <si>
    <t>昆明</t>
  </si>
  <si>
    <t>【情侣生活】</t>
  </si>
  <si>
    <t>三千企鹅</t>
  </si>
  <si>
    <t>高颜值情侣，主打生活体验式内容，打造了多条爆款，女粉占比66.7%，目前合作生活食品，汽车类较多，适合全品类植入</t>
  </si>
  <si>
    <t>77777774_</t>
  </si>
  <si>
    <t>https://v.douyin.com/JGoHUQ1/</t>
  </si>
  <si>
    <t>https://www.xingtu.cn/ad/creator/author-homepage/douyin-video/6602513255774552072?market_track_id=PTF8N8NPVNQT7WK3HW8Y&amp;search_session_id=7506424333159333907&amp;video_type=2&amp;_route_from=from_page%3DMarket%26search_session_id%3D7506424333159333907%26is_for_order%3D1%26market_track_id%3DPTF8N8NPVNQT7WK3HW8Y%26platform_source%3D1%26key%3D%25E4%25B8%2589%25E5%258D%2583%25E4%25BC%2581%25E9%25B9%2585%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</si>
  <si>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6602513255774552072</t>
  </si>
  <si>
    <t>男：42.6%   
女：57.4%</t>
  </si>
  <si>
    <t>18-23；60.3% 24-30；23.6% 31-40；11.1%</t>
  </si>
  <si>
    <t>Z世代：45.1%
新锐白领：15%
小镇青年：20.4%
精致妈妈：4.8%
资深中产：2.3%
都市蓝领：10.8%
小镇中老年：0.9%
都市银发：0.6%</t>
  </si>
  <si>
    <t>康师傅、乐堡啤酒、五菱宏光、华为、美年达、华为、智己、广汽埃安、海尔、苹果、百事可乐、迪士尼</t>
  </si>
  <si>
    <t>晨晓义</t>
  </si>
  <si>
    <t>堪称生活中的 “幽默核弹”，总能从情侣间的平凡日常里挖掘出令人捧腹的笑点。内容覆盖“搞笑+甜蜜”双线。</t>
  </si>
  <si>
    <t>https://v.douyin.com/AvYkCxx/</t>
  </si>
  <si>
    <t>https://www.xingtu.cn/ad/creator/author-homepage/douyin-video/6733529818639368206?market_track_id=WRTIL1B1HTNDE90QY48O&amp;search_session_id=7506424351446384681&amp;video_type=2&amp;_route_from=from_page%3DMarket%26search_session_id%3D7506424351446384681%26is_for_order%3D1%26market_track_id%3DWRTIL1B1HTNDE90QY48O%26platform_source%3D1%26key%3D%25E6%2599%25A8%25E6%2599%2593%25E4%25B9%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</si>
  <si>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6733529818639368206</t>
  </si>
  <si>
    <t>男：79.1%
女：20.9%</t>
  </si>
  <si>
    <t>18-23：12.3%
24-30：26.7%
31-40：39.3%</t>
  </si>
  <si>
    <t>Z世代：8.7%
新锐白领：32%
小镇青年：21.5%
精致妈妈：2.7%
资深中产：8.8%
都市蓝领：10.8%
小镇中老年：8.5%
都市银发：6.9%</t>
  </si>
  <si>
    <t>得物、肯德基、荣威、广汽丰田、吉列剃须刀、小奥汀、膜法世家、DNF、美团、传祺、smart、别克、沱牌、乐事</t>
  </si>
  <si>
    <t>【日常/vlog】</t>
  </si>
  <si>
    <t>北方姑娘（糖糖）</t>
  </si>
  <si>
    <t>东北家庭生活在成都，一个活宝女儿和她不扫兴的爸妈，家庭场景，逗趣生活，方便各品类植入</t>
  </si>
  <si>
    <t>日常</t>
  </si>
  <si>
    <t>https://v.douyin.com/iLb8hLmv/</t>
  </si>
  <si>
    <t>https://www.xingtu.cn/ad/creator/author-homepage/douyin-video/6629665882937229325?market_track_id=ADFREOQU9K4XJ1E1ZMOD&amp;search_session_id=7506424794557890599&amp;video_type=2&amp;_route_from=from_page%3DMarket%26search_session_id%3D7506424794557890599%26is_for_order%3D1%26market_track_id%3DADFREOQU9K4XJ1E1ZMOD%26platform_source%3D1%26key%3D%25E5%258C%2597%25E6%2596%25B9%25E5%25A7%2591%25E5%25A8%2598%25EF%25BC%2588%25E7%25B3%2596%25E7%25B3%2596%25EF%25BC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</si>
  <si>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6629665882937229325</t>
  </si>
  <si>
    <t>男：42.8%
女：57.2%</t>
  </si>
  <si>
    <t>18-23：26.7%
24-30：26.3%
31-40：32.5%</t>
  </si>
  <si>
    <t>Z世代：21.7%
新锐白领：14.2%
小镇青年：25.9%
精致妈妈：5.5%
资深中产：4.1%
都市蓝领：19.7%
小镇中老年：5.4%
都市银发：3.5%</t>
  </si>
  <si>
    <t>京东、雪佛兰、大众、乐事、伊利、徕芬、松下、欧莱雅、华为、赫莲娜、伊利金典、海尔、北汽、东风日产、岚图</t>
  </si>
  <si>
    <t>赛罗的宝贝</t>
  </si>
  <si>
    <t>vlog日常类达人；内容输出，会使得账号有很强的粉丝粘性；能够精准地吸引到这部分年轻受众，满足他们对于娱乐、社交和情感共鸣的需求</t>
  </si>
  <si>
    <t>6666666niua</t>
  </si>
  <si>
    <t>家庭、日常</t>
  </si>
  <si>
    <t>https://v.douyin.com/ihY3Bnto/ 3@1.com</t>
  </si>
  <si>
    <t>https://www.xingtu.cn/ad/creator/author-homepage/douyin-video/6805457493347549198?market_track_id=ABWG93TWKLXV69FMO8CQ&amp;search_session_id=7506424543515459638&amp;video_type=2&amp;_route_from=from_page%3DMarket%26search_session_id%3D7506424543515459638%26is_for_order%3D1%26market_track_id%3DABWG93TWKLXV69FMO8CQ%26platform_source%3D1%26key%3D%25E8%25B5%259B%25E7%25BD%2597%25E7%259A%2584%25E5%25AE%259D%25E8%25B4%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</si>
  <si>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6805457493347549198</t>
  </si>
  <si>
    <t>女 ：56%  
男 ：44%</t>
  </si>
  <si>
    <t>18-23：69%
24-30：14.7%
31-40：8.6%</t>
  </si>
  <si>
    <t>Z世代：57.2%
新锐白领：4.4%
小镇青年：27.8%
精致妈妈：1.3%
资深中产：0.6%
都市蓝领：7.1%
小镇中老年：1%
都市银发：0.6%</t>
  </si>
  <si>
    <t>优思明、杜蕾斯、可颂</t>
  </si>
  <si>
    <t>上海</t>
  </si>
  <si>
    <t>棚棚朱古力</t>
  </si>
  <si>
    <t>该账号拥有高达300万的粉丝基础，获赞数更是达到了惊人的6100万，达人视频内容不仅限于健身，还涵盖了汽车、高尔夫等多元化的兴趣爱好，让粉丝在欣赏其专业健身内容的同时，也能感受到他丰富多彩的生活。其合集“朱古力的备赛日记”、“健身与健康”、“挑战带100个人健身”以及“门当户对”等，都获得了极高的播放量，其中“门当户对”更是达到了2.7亿的播放量
达人形象好，拥有绝对的男粉高达97%，广告经验丰富合作过伊利、东风纳米、哪吒S、荣威、乌苏、郎酒、碧欧泉、吉列、林肯汽车、阿维塔11、长安深蓝、七匹狼等品牌</t>
  </si>
  <si>
    <t>pengpengzhug</t>
  </si>
  <si>
    <t>日常、汽车</t>
  </si>
  <si>
    <t>https://v.douyin.com/AEx3WQG/</t>
  </si>
  <si>
    <t>https://www.xingtu.cn/ad/creator/author-homepage/douyin-video/6629661185576796164?market_track_id=E1N10QJIKJYZ2OX6B4WC&amp;search_session_id=7506425026556870695&amp;video_type=2&amp;_route_from=from_page%3DMarket%26search_session_id%3D7506425026556870695%26is_for_order%3D1%26market_track_id%3DE1N10QJIKJYZ2OX6B4WC%26platform_source%3D1%26key%3D%25E6%25A3%259A%25E6%25A3%259A%25E6%259C%25B1%25E5%258F%25A4%25E5%258A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</si>
  <si>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6629661185576796164</t>
  </si>
  <si>
    <t>男：75.3%
女：24.7%</t>
  </si>
  <si>
    <t>18-23：34.6%
24-30：24.6%
31-40：23.8%</t>
  </si>
  <si>
    <t>Z世代：34.2%
新锐白领：17.1%
小镇青年：22.5%
精致妈妈：2.3%
资深中产：3.1%
都市蓝领：13.3%
小镇中老年：3.9%
都市银发：3.6%</t>
  </si>
  <si>
    <t>伊利、东风纳米、荣威、碧欧泉、吉列、林肯汽车、阿维塔11、长安深蓝、比亚迪、妮维雅、蕉内、奇瑞icar</t>
  </si>
  <si>
    <t>洛丽塔大哥lolita</t>
  </si>
  <si>
    <t>元气少女，好身材甜妹，vlog达人，日常生活分享，氛围感视频。
月度连接总用户数 845.4w，环比 +193.9%，位于行业内 TOP 5%。触达用户 24-30岁居多，男性居多。集中分布在一线城市。
适合游戏、汽车、数码3C、食品饮料等产品植入，植入场景丰富，达人配合度高。</t>
  </si>
  <si>
    <t>1818515dy</t>
  </si>
  <si>
    <t>https://v.douyin.com/iDDrdfwC/ 9@0.com</t>
  </si>
  <si>
    <t>https://www.xingtu.cn/ad/creator/author-homepage/douyin-video/6793284681224683534?market_track_id=WYYKHUE391R399LR5PQC&amp;search_session_id=7506425929252306956&amp;video_type=2&amp;_route_from=from_page%3DMarket%26search_session_id%3D7506425929252306956%26is_for_order%3D1%26market_track_id%3DWYYKHUE391R399LR5PQC%26platform_source%3D1%26key%3D%25E6%25B4%259B%25E4%25B8%25BD%25E5%25A1%2594%25E5%25A4%25A7%25E5%2593%25A5lolit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</si>
  <si>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6793284681224683534</t>
  </si>
  <si>
    <t>男：88.7%
女：11.3%</t>
  </si>
  <si>
    <t>18-23：30.4%
24-30：43.9%
31-40：22.1%</t>
  </si>
  <si>
    <t>Z世代：15.8%
新锐白领：40.7%
小镇青年：19.7%
精致妈妈：1.4%
资深中产：2.7%
都市蓝领：17.5%
小镇中老年：1.3%
都市银发：1%</t>
  </si>
  <si>
    <t>RIO、大话西游、长安幻想、绵阳方特、和成天下、沱牌舍得、岚图、得物、东风日产、哈弗、</t>
  </si>
  <si>
    <t>吕飞</t>
  </si>
  <si>
    <t>轻熟男精致日常，主打“厅式穿搭”与生活随拍，内容兼具质感与共鸣，爆款频出。擅长通过剧情化表达种草商务男装、品质好物，曾合作雅戈尔、贵州习酒等品牌。粉丝粘性强、转化高效，是品牌破圈传播的优选合作对象。</t>
  </si>
  <si>
    <t>https://v.douyin.com/z7JKhSGLHj4/</t>
  </si>
  <si>
    <t>https://www.xingtu.cn/ad/creator/author-homepage/douyin-video/7072935851847581734?market_track_id=LDXVS0SXIARWO5W865W2&amp;search_session_id=7583963797183758342&amp;possessStarId</t>
  </si>
  <si>
    <t>7072935851847581734</t>
  </si>
  <si>
    <t>视频号微博</t>
  </si>
  <si>
    <t>男：61.2%
女：38.8%</t>
  </si>
  <si>
    <t>18-23：43%
24-30：33.8%
31-40：19.3%</t>
  </si>
  <si>
    <t>Z世代：27.7%
新锐白领：23%
小镇青年：21.6%
精致妈妈：5.1%
资深中产：2%
都市蓝领：18.4%
小镇中老年：1.3%
都市银发：0.8%</t>
  </si>
  <si>
    <t>九牧王、水井坊、华为、蔚来</t>
  </si>
  <si>
    <t>黄星桥</t>
  </si>
  <si>
    <t>「电子闺蜜」系vlogger，镜头真实不造作。分享宅家治愈时光、探店觅食与好友互怼瞬间。用松弛感镜头记录平凡生活里的小确幸，主打真实陪伴与情绪共鸣，用松弛感风格自然植入好物，原生种草力突出。</t>
  </si>
  <si>
    <t>1999_11_3</t>
  </si>
  <si>
    <t>日常、vlog</t>
  </si>
  <si>
    <t>https://v.douyin.com/KeTRN28g1m0/</t>
  </si>
  <si>
    <t>https://www.xingtu.cn/ad/creator/author-homepage/douyin-video/7326903080321024010?market_track_id=4ED161GP8MO20S4OQWX6&amp;search_session_id=7593255005709598774&amp;possessStarId</t>
  </si>
  <si>
    <t>7326903080321024010</t>
  </si>
  <si>
    <t>元贞爱亨利</t>
  </si>
  <si>
    <t>泛生活领域创作者，粉丝量达17.39万，点赞量超259.6万。其视频以生活随拍为主，内容真实有趣，能自然融入广告产品。曾有多条视频点赞量破万，合作性价比高，适合各类生活、消费类品牌进行推广。</t>
  </si>
  <si>
    <t>日常、随拍</t>
  </si>
  <si>
    <t>https://v.douyin.com/YPNJaozIgqY/</t>
  </si>
  <si>
    <t>https://www.xingtu.cn/ad/creator/author-homepage/douyin-video/7530268826995261481?market_track_id=AFYCHK8E6RNNZI1D3OYX&amp;search_session_id=7560902726126403620&amp;possessStarId</t>
  </si>
  <si>
    <t>7530268826995261481</t>
  </si>
  <si>
    <t>男：18.1%
女：81.9%</t>
  </si>
  <si>
    <t>18-23：47.3%
24-30：23.7%
31-40：17.3%</t>
  </si>
  <si>
    <t>Z世代：42.4%
新锐白领：12.5%
小镇青年：26.1%
精致妈妈：3.8%
资深中产：1.8%
都市蓝领：9.7%
小镇中老年：2.4%
都市银发：1.4%</t>
  </si>
  <si>
    <t>转转、冠能、白惜牙膏、杨先生麻花、润培、德祐、诚实一口、友望、美团</t>
  </si>
  <si>
    <t>二同哥哥</t>
  </si>
  <si>
    <t>非著名主持人以其独特的内容和风格吸引了大量关注，两大合集“成都父子的那些事”和“小梧桐日常”分别获得了2835.7万和4330.0万的播放量
“成都父子的那些事”和“小梧桐日常”这两个合集，满满的生活气息和亲情味道。可以深入了解父子的日常生活、趣事以及他们之间的深厚情感。这种真实、接地气的内容，很容易引发观众的共鸣和喜爱。
达人配合度高，合作过太太乐、爱他美、奇骏、TATA木门、石头、问界、劲酒、万家乐、奇骏、全友家私、滴滴、威猛先生等品牌</t>
  </si>
  <si>
    <t>DYX881027</t>
  </si>
  <si>
    <t>日常、家庭</t>
  </si>
  <si>
    <t>https://v.douyin.com/En7thx/</t>
  </si>
  <si>
    <t>https://www.xingtu.cn/ad/creator/author-homepage/douyin-video/6629127088207036430?market_track_id=HQ30STQYALVLETP50BBJ&amp;search_session_id=7506428133824708671&amp;video_type=2&amp;_route_from=from_page%3DMarket%26search_session_id%3D7506428133824708671%26is_for_order%3D1%26market_track_id%3DHQ30STQYALVLETP50BBJ%26platform_source%3D1%26key%3D%25E4%25BA%258C%25E5%2590%258C%25E5%2593%25A5%25E5%2593%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</si>
  <si>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6629127088207036430</t>
  </si>
  <si>
    <t>男 ：80.6%
女 ：19.4%</t>
  </si>
  <si>
    <t>18-23：15.5%
24-30：35.9%
31-40：35.4%</t>
  </si>
  <si>
    <t>z世代：6.7%
小镇青年：25%
精致妈妈：3.8%
新锐白领：30.3%
都市蓝领：17.8%
小镇中老年：5.5%
资深中产：6.5%
都市银发：4.3%</t>
  </si>
  <si>
    <t>太太乐、爱他美、奇骏、TATA木门、石头、问界、劲酒、万家乐、奇骏、全友家私、滴滴、威猛先生、哈弗</t>
  </si>
  <si>
    <t>刘贺儿</t>
  </si>
  <si>
    <t>用镜头展现平凡生活中的伟大，通过达人的视角，接触对社会有意义的事情。合作可以提升品牌方在人们心中的价值；30岁以上粉丝占比高，粉丝消费能力高；适合全品类植入，达人配合度非常高；</t>
  </si>
  <si>
    <t>chenbaobao0</t>
  </si>
  <si>
    <t>记录生活vlog</t>
  </si>
  <si>
    <t>https://v.douyin.com/ihLfY4my/ 1@8.com</t>
  </si>
  <si>
    <t>https://www.xingtu.cn/ad/creator/author-homepage/douyin-video/6846209317889114120?market_track_id=58IHQXH5X0IERITR1FXA&amp;search_session_id=7506428168321531915&amp;video_type=2&amp;_route_from=from_page%3DMarket%26search_session_id%3D7506428168321531915%26is_for_order%3D1%26market_track_id%3D58IHQXH5X0IERITR1FXA%26platform_source%3D1%26key%3D%25E5%2588%2598%25E8%25B4%25BA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</si>
  <si>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6846209317889114120</t>
  </si>
  <si>
    <t>男：65.9%
女：34.1%</t>
  </si>
  <si>
    <t>18-23：22.9%
24-30：21%
31-40：33%</t>
  </si>
  <si>
    <t>Z世代：22.1%
新锐白领：14.9%
小镇青年：23.9%
精致妈妈：3.2%
资深中产：5.5%
都市蓝领：16%
小镇中老年：7.8%
都市银发：6.6%</t>
  </si>
  <si>
    <t>华为、茅台、京东</t>
  </si>
  <si>
    <t>小程不是小陈也不是小成</t>
  </si>
  <si>
    <t>变美思路、种草、开箱内容，口播强植入；满满的干货搭配小程特有的口音，能让整篇种草不无聊，完播率拉满；适合全品类品牌植入</t>
  </si>
  <si>
    <t>情侣日常 好物分享</t>
  </si>
  <si>
    <t>https://v.douyin.com/ieJEk27r/</t>
  </si>
  <si>
    <t>https://www.xingtu.cn/ad/creator/author-homepage/douyin-video/6870167809498808333?market_track_id=5JHIEM8JD0YPO75OONSK&amp;search_session_id=7506428303101018153&amp;video_type=2&amp;_route_from=from_page%3DMarket%26search_session_id%3D7506428303101018153%26is_for_order%3D1%26market_track_id%3D5JHIEM8JD0YPO75OONSK%26platform_source%3D1%26key%3D%25E5%25B0%258F%25E7%25A8%258B%25E4%25B8%258D%25E6%2598%25AF%25E5%25B0%258F%25E9%2599%2588%25E4%25B9%259F%25E4%25B8%258D%25E6%2598%25AF%25E5%25B0%258F%25E6%2588%2590%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</si>
  <si>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6870167809498808333</t>
  </si>
  <si>
    <t>男：71.3%
女：28.7%</t>
  </si>
  <si>
    <t>18-23：64.3%
24-30：16.3%
31-40：10%</t>
  </si>
  <si>
    <t>Z世代：57.9%
新锐白领：7.1%
小镇青年：23.7%
精致妈妈：0.5%
资深中产：0.9%
都市蓝领：8%
小镇中老年：1%
都市银发：0.8%</t>
  </si>
  <si>
    <t>珂拉琪、intoyou、蕉点、mistine、HBN、明治、肌活</t>
  </si>
  <si>
    <t>【亲子】</t>
  </si>
  <si>
    <t>胖嘟嘟的嘟嘟</t>
  </si>
  <si>
    <t>母婴垂类头部账号，通过萌娃日常演绎“育儿痛点-产品解决”逻辑（如学习机解决辅导难题）。粉丝宝妈占比88%，产品转化率极高，适合奶粉、玩具、家居日用合作。</t>
  </si>
  <si>
    <t>xiaopangdudu</t>
  </si>
  <si>
    <t>剧情、亲子</t>
  </si>
  <si>
    <t>https://v.douyin.com/N9wSKAr/</t>
  </si>
  <si>
    <t>https://www.xingtu.cn/ad/creator/author-homepage/douyin-video/6740393506990194696?market_track_id=DRKK9SM8L3131BHUIM88&amp;search_session_id=7506417872022700043&amp;video_type=2&amp;_route_from=from_page%3DMarket%26search_session_id%3D7506417872022700043%26is_for_order%3D1%26market_track_id%3DDRKK9SM8L3131BHUIM88%26platform_source%3D1%26key%3D%25E8%2583%2596%25E5%2598%259F%25E5%2598%259F%25E7%259A%2584%25E5%2598%259F%25E5%2598%259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</si>
  <si>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6740393506990194696</t>
  </si>
  <si>
    <t>男：36.1%
女：63.9%</t>
  </si>
  <si>
    <t>18-23：12.5%
24-30：23%
31-40：38.4%</t>
  </si>
  <si>
    <t>Z世代：10.8%
新锐白领：11.6%
小镇青年：22.9%
精致妈妈：10.1%
资深中产：4.1%
都市蓝领：20.3%
小镇中老年：9.6%
都市银发：10.8%</t>
  </si>
  <si>
    <t>美素佳儿、完达山、爱他美、蒙牛、长安欧尚、松下、荣威、极狐、法优乐、岚图</t>
  </si>
  <si>
    <t>彩虹和格格</t>
  </si>
  <si>
    <t>聚焦平等自由的亲子成长，记录“不鸡娃”的快乐日常。凭借真实接地气的互动、积极正能量的调性，圈粉海量宝妈及亲子群体。内容覆盖母婴好物、亲子穿搭与成长干货，粉丝粘性强、信任度高，适配母婴用品、家居日用、亲子消费等场景，转化潜力突出。</t>
  </si>
  <si>
    <t>Chmama</t>
  </si>
  <si>
    <t>亲子、生活</t>
  </si>
  <si>
    <t>https://v.douyin.com/oc0iSkp3I-Y/</t>
  </si>
  <si>
    <t>https://www.xingtu.cn/ad/creator/author-homepage/douyin-video/6870112228712923144?market_track_id=I0U981DWX92MXI5VN9S6&amp;search_session_id=7597722299365965878&amp;possessStarId</t>
  </si>
  <si>
    <t>6870112228712923144</t>
  </si>
  <si>
    <t>【运动】</t>
  </si>
  <si>
    <t>大圣爱跑步</t>
  </si>
  <si>
    <t>运动领域垂直KOL，有大量精准跑友粉丝，核心聚焦马拉松赛事与训练干货。“大圣”人设鲜明，兼具专业性与感染力，粉丝以年轻群体为主，付费意愿强。内容场景适配运动装备、营养补给、城市文旅等品类，植入自然不违和，是高转化、强共鸣的优质合作选择。</t>
  </si>
  <si>
    <t>运动、日常</t>
  </si>
  <si>
    <t>https://v.douyin.com/Wd-9v46EwOo/</t>
  </si>
  <si>
    <t>https://www.xingtu.cn/ad/creator/author-homepage/douyin-video/7437412455573094438?market_track_id=OZDXFB6LRY6IARAR1ZJR&amp;search_session_id=7577287979769987108&amp;possessStarId</t>
  </si>
  <si>
    <t>7437412455573094438</t>
  </si>
  <si>
    <t>男：52.8%
女：47.2%</t>
  </si>
  <si>
    <t>24-30：15.2%
31-40：34.5%   50+：32.2%</t>
  </si>
  <si>
    <t>小镇青年：22.6%
都市银发：17.4%
都市蓝领：19.3%
小镇中老年：15.6%
z世代：13.4%
新锐白领：6.2%
资深中产：3.4%
精致妈妈：2.2%</t>
  </si>
  <si>
    <t>乌鲁木齐</t>
  </si>
  <si>
    <t>【舞蹈/音乐】</t>
  </si>
  <si>
    <t>多加点DuoDian</t>
  </si>
  <si>
    <t>高颜值双胞胎，时尚表现能力强,男粉占比61.9%，31-40占比最高，受众新锐白领较多，食品、游戏、3c、汽车、线下打卡类合作较多，适合各类产品植入</t>
  </si>
  <si>
    <t>duodian0722</t>
  </si>
  <si>
    <t>创意 舞蹈 颜值</t>
  </si>
  <si>
    <t>https://v.douyin.com/qAah9R/</t>
  </si>
  <si>
    <t>https://www.xingtu.cn/ad/creator/author-homepage/douyin-video/6596679993906954254?market_track_id=RHX9N8IZ5BDH2B8GR5YR&amp;search_session_id=7506419773791240255&amp;video_type=2&amp;_route_from=from_page%3DMarket%26search_session_id%3D7506419773791240255%26is_for_order%3D1%26market_track_id%3DRHX9N8IZ5BDH2B8GR5YR%26platform_source%3D1%26key%3D%25E5%25A4%259A%25E5%258A%25A0%25E7%2582%25B9DuoD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</si>
  <si>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6596679993906954254</t>
  </si>
  <si>
    <t>男：72.3%   
女：27.7%</t>
  </si>
  <si>
    <t>18-23：18.4%
24-30：27.1%
31-40：37.1%</t>
  </si>
  <si>
    <t>Z世代：16.3%
新锐白领：20.7%
小镇青年：24.3%
精致妈妈：2.8%
资深中产：4.2%
都市蓝领：18.2%
小镇中老年：6.8%
都市银发：6.7%</t>
  </si>
  <si>
    <t>YSL、京东、PUMA、Adidas、逆水寒、饿了么、维他命水、梦幻西游、百事可乐、德克士、酷儿。百雀羚、岚图、</t>
  </si>
  <si>
    <t>丹妮不是小猪</t>
  </si>
  <si>
    <t>作品以生活随拍与舞蹈创作为主，风格独特吸睛。舞蹈视频动作流畅、感染力强，生活分享真实有趣，能引发粉丝强烈共鸣。粉丝粘性高，互动积极，能为合作品牌带来高曝光与转化。</t>
  </si>
  <si>
    <t>nnnni520</t>
  </si>
  <si>
    <t>颜值、舞蹈</t>
  </si>
  <si>
    <t>https://v.douyin.com/l9yMFgFF4Ic/</t>
  </si>
  <si>
    <t>https://www.xingtu.cn/ad/creator/author-homepage/douyin-video/7218220304135356471?market_track_id=T1HSWBAEXMH98GSH6MPV&amp;search_session_id=7550226290448875556&amp;possessStarId</t>
  </si>
  <si>
    <t>7218220304135356471</t>
  </si>
  <si>
    <t>男：57.5%
女：42.5%</t>
  </si>
  <si>
    <t>18-23：47.1%
24-30：31.9%
31-40：17.2%</t>
  </si>
  <si>
    <t>Z世代：31.2%
新锐白领：21.5%
小镇青年：24.4%
精致妈妈：2.1%
资深中产：1.7%
都市蓝领：17.2%
小镇中老年：1.1%
都市银发：0.6%</t>
  </si>
  <si>
    <t>逆水寒、海尔、三国</t>
  </si>
  <si>
    <t>鹿儿er</t>
  </si>
  <si>
    <t>甜萌舞力少女，灵动俏皮似邻家，无缝接轨服饰美妆游戏圈，魅力破圈，未来无限。</t>
  </si>
  <si>
    <t>Yaya55688</t>
  </si>
  <si>
    <t>https://v.douyin.com/24q2eQN/</t>
  </si>
  <si>
    <t>https://www.xingtu.cn/ad/creator/author-homepage/douyin-video/6984651683640901662?market_track_id=L7P4GANMST0846PF62J0&amp;search_session_id=7506419875221504011&amp;video_type=2&amp;_route_from=from_page%3DMarket%26search_session_id%3D7506419875221504011%26is_for_order%3D1%26market_track_id%3DL7P4GANMST0846PF62J0%26platform_source%3D1%26key%3D%25E9%25B9%25BF%25E5%2584%25BFer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</si>
  <si>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6984651683640901662</t>
  </si>
  <si>
    <t>男：83.3%
女：16.7%</t>
  </si>
  <si>
    <t>18-23：36.6%
24-30：33.8%
31-40：20.1%</t>
  </si>
  <si>
    <t>Z世代：21.9%
新锐白领：17.8%
小镇青年：25.8%
精致妈妈：1.6%
资深中产：1.8%
都市蓝领：22.2%
小镇中老年：4.3%
都市银发：4.6%</t>
  </si>
  <si>
    <t>最美天气贴纸、水井坊、洋河、特步、MG7、梦幻西游、伊利、传祺、王者荣耀、长城</t>
  </si>
  <si>
    <t>太原</t>
  </si>
  <si>
    <t>张好好爱吃鱼🐬</t>
  </si>
  <si>
    <t>国风古典舞蹈类达人，形象气质佳，大长腿尤其吸引人，适合行业：服饰、游戏、美妆</t>
  </si>
  <si>
    <t>zlzll1126</t>
  </si>
  <si>
    <t>舞蹈</t>
  </si>
  <si>
    <t>https://v.douyin.com/iUU8cHHq/</t>
  </si>
  <si>
    <t>https://www.xingtu.cn/ad/creator/author-homepage/douyin-video/7348369428595081226?market_track_id=XGEHLZ9CA9OLF261XFQT&amp;search_session_id=7506420067140108299&amp;video_type=2&amp;_route_from=from_page%3DMarket%26search_session_id%3D7506420067140108299%26is_for_order%3D1%26market_track_id%3DXGEHLZ9CA9OLF261XFQT%26platform_source%3D1%26key%3D%25E5%25BC%25A0%25E5%25A5%25BD%25E5%25A5%25BD%25E7%2588%25B1%25E5%2590%2583%25E9%25B1%25BC%25F0%259F%2590%25A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</si>
  <si>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7348369428595081226</t>
  </si>
  <si>
    <t>男：93.3%
女：6.7%</t>
  </si>
  <si>
    <t>18-23：8.8%
24-30：26.2%
31-40：46.8%</t>
  </si>
  <si>
    <t>Z世代：4.4%
新锐白领：30.6%
小镇青年：20.5%
精致妈妈：1.2%
资深中产：9.8%
都市蓝领：20.7%
小镇中老年：7.9%
都市银发：4.9%</t>
  </si>
  <si>
    <t>去哪儿、好莱客、埃安、</t>
  </si>
  <si>
    <t>花千小骨⁸²¹🕌</t>
  </si>
  <si>
    <t>专注于敦煌舞表演，其舞蹈动作规范、优美且富有感染力，能够精准地展现出敦煌舞的独特韵味和艺术魅力，让观众在欣赏舞蹈的同时，感受到敦煌文化的深厚底蕴。其内容能够激发观众对敦煌地区的兴趣和向往，为敦煌的文化旅游产业起到宣传推广的作用。如果与当地旅游机构或相关品牌合作，可以有效促进敦煌旅游市场的发展，实现文化与旅游的深度融合。</t>
  </si>
  <si>
    <t>YY0821</t>
  </si>
  <si>
    <t>https://v.douyin.com/iY85x94D/</t>
  </si>
  <si>
    <t>https://www.xingtu.cn/ad/creator/author-homepage/douyin-video/7129889869039403015?market_track_id=14V3MPWQNE99BRC2Y8PU&amp;search_session_id=7506420126619566091&amp;video_type=2&amp;_route_from=from_page%3DMarket%26search_session_id%3D7506420126619566091%26is_for_order%3D1%26market_track_id%3D14V3MPWQNE99BRC2Y8PU%26platform_source%3D1%26key%3D%25E8%258A%25B1%25E5%258D%2583%25E5%25B0%258F%25E9%25AA%25A8%25E2%2581%25B8%25C2%25B2%25C2%25B9%25F0%259F%2595%258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</si>
  <si>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7129889869039403015</t>
  </si>
  <si>
    <t>男：83.9%
女：16.1%</t>
  </si>
  <si>
    <t>18-23：26.5%
24-30：31.7%
31-40：28%</t>
  </si>
  <si>
    <t>Z世代：16.5%
新锐白领：19.2%
小镇青年：25.8%
精致妈妈：2.1%
资深中产：4.2%
都市蓝领：21.5%
小镇中老年：6.3%
都市银发：4.6%</t>
  </si>
  <si>
    <t>网易、探探、ulike、逆水寒、和平精英、时光杂货店、燕京啤酒、埃安、</t>
  </si>
  <si>
    <t>宛庭</t>
  </si>
  <si>
    <t>舞蹈类达人，有助于合作品牌塑造年轻、时尚、活力的品牌形象。通过与她合作，品牌可以将自身的产品或服务与宛庭的形象和舞蹈内容相结合，传递出积极、美好的品牌价值观，吸引更多目标客户的关注和认可。</t>
  </si>
  <si>
    <t>https://v.douyin.com/i2H5qaFs/</t>
  </si>
  <si>
    <t>https://www.xingtu.cn/ad/creator/author-homepage/douyin-video/7301232242683019273?market_track_id=AX2QE06W2PAHS8LH1D0I&amp;search_session_id=7506420191522275339&amp;video_type=2&amp;_route_from=from_page%3DMarket%26search_session_id%3D7506420191522275339%26is_for_order%3D1%26market_track_id%3DAX2QE06W2PAHS8LH1D0I%26platform_source%3D1%26key%3D%25E5%25AE%259B%25E5%25BA%25A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</si>
  <si>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7301232242683019273</t>
  </si>
  <si>
    <t>女 ：18.1%  
男 ：81.9%</t>
  </si>
  <si>
    <t>18-23：59.9%
24-30：19.5%
31-40：12.9%</t>
  </si>
  <si>
    <t>Z世代：40.6%
新锐白领：10.6%
小镇青年：25.3%
精致妈妈：1.6%
资深中产：1.2%
都市蓝领：15.8%
小镇中老年：2.5%
都市银发：2.3%</t>
  </si>
  <si>
    <t>时光大爆炸、王岗坪、海底捞</t>
  </si>
  <si>
    <t>四九</t>
  </si>
  <si>
    <t>舞蹈少年，潜力无限。他舞技精湛，肢体控制精准，节奏感绝佳，对各类舞蹈风格都能出色演绎，从青春活力的街舞，到优雅舒展的现代舞，皆不在话下。舞台上的他自信闪耀，极具感染力，能迅速抓住观众目光，为舞蹈领域注入新鲜活力，值得关注。</t>
  </si>
  <si>
    <t>7749sijiu</t>
  </si>
  <si>
    <t>https://v.douyin.com/iYBa8VBc/</t>
  </si>
  <si>
    <t>https://www.xingtu.cn/ad/creator/author-homepage/douyin-video/7351730252281806858?market_track_id=Q8KVA6MSVYLYCDFMCC1Q&amp;search_session_id=7506420302496841769&amp;video_type=2&amp;_route_from=from_page%3DMarket%26search_session_id%3D7506420302496841769%26is_for_order%3D1%26market_track_id%3DQ8KVA6MSVYLYCDFMCC1Q%26platform_source%3D1%26key%3D%25E5%259B%259B%25E4%25B9%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</si>
  <si>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7351730252281806858</t>
  </si>
  <si>
    <t>男：24.2%
女：75.8%</t>
  </si>
  <si>
    <t>18-23：15%
24-30：17.8%
31-40：28.3%</t>
  </si>
  <si>
    <t>Z世代：11.4%
新锐白领：11%
小镇青年：16.9%
精致妈妈：8.7%
资深中产：6.7%
都市蓝领：11.8%
小镇中老年：3.2%
都市银发：18.7%</t>
  </si>
  <si>
    <t>柚竹、ulike、网易飞天舞、新奇士、恋与深空、长虹、百事可乐</t>
  </si>
  <si>
    <t>维妮儿Dance👣</t>
  </si>
  <si>
    <t>舞蹈表演本科，致力于推广古典国风舞蹈文化，既传承古典舞蹈的典雅庄重，又大胆创新，融入现代舞蹈元素，使作品既贴合当代审美，又不失古韵。</t>
  </si>
  <si>
    <t>Wnr_3399.</t>
  </si>
  <si>
    <t>https://v.douyin.com/rVAPr2p/</t>
  </si>
  <si>
    <t>https://www.xingtu.cn/ad/creator/author-homepage/douyin-video/7090145395988234255?market_track_id=CXX0T8PZX6VKRWU7FPCC&amp;search_session_id=7506419877101191179&amp;video_type=2&amp;_route_from=from_page%3DMarket%26search_session_id%3D7506419877101191179%26is_for_order%3D1%26market_track_id%3DCXX0T8PZX6VKRWU7FPCC%26platform_source%3D1%26key%3D%25E7%25BB%25B4%25E5%25A6%25AE%25E5%2584%25BFDance%25F0%259F%2591%25A3%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</si>
  <si>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7090145395988234255</t>
  </si>
  <si>
    <t>男：80.4%
女：19.6%</t>
  </si>
  <si>
    <t>18-23：30.4%
24-30：27.5%
31-40：27.7%</t>
  </si>
  <si>
    <t>Z世代：30.1%
新锐白领：15.3%
小镇青年：25.1%
精致妈妈：1.4%
资深中产：3.2%
都市蓝领：16.9%
小镇中老年：4.3%
都市银发：3.8%</t>
  </si>
  <si>
    <t>台州神仙居、伊利、书亦、梦幻西游、去哪儿、岚图</t>
  </si>
  <si>
    <t>清妍-</t>
  </si>
  <si>
    <t>擅长各种传统舞蹈，还能够在保留舞蹈精髓的基础上进行创新，将现代元素融入其中，使舞蹈更具时代感和观赏性，注重画面的构图和色彩搭配。达人表现力强，适合食品饮料、景区宣传以及汽车品类推广。</t>
  </si>
  <si>
    <t>古风舞蹈</t>
  </si>
  <si>
    <t>https://v.douyin.com/ee1Ud3N/</t>
  </si>
  <si>
    <t>https://www.xingtu.cn/ad/creator/author-homepage/douyin-video/6763255021673906180?market_track_id=0K7127XRBJCSUN1J1ML6&amp;search_session_id=7506419638394306579&amp;video_type=2&amp;_route_from=from_page%3DMarket%26search_session_id%3D7506419638394306579%26is_for_order%3D1%26market_track_id%3D0K7127XRBJCSUN1J1ML6%26platform_source%3D1%26key%3D%25E6%25B8%2585%25E5%25A6%258D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</si>
  <si>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6763255021673906180</t>
  </si>
  <si>
    <t>男 ：69.5%
女 ：30.5%</t>
  </si>
  <si>
    <t>18-23：27.4%
24-30：35.1%
31-40：28.6%</t>
  </si>
  <si>
    <t>Z世代：16.3%
新锐白领：24.1%
小镇青年：23.9%
精致妈妈：3.9%
资深中产：3.1%
都市蓝领：21.7%
小镇中老年：3.6%
都市银发：3.4%</t>
  </si>
  <si>
    <t>今麦郎、广汽丰田、顾家家居、多乐士 、长安、施华蔻、梅赛德斯-奔驰、adidas、伊利、东风奕派、岚图</t>
  </si>
  <si>
    <t>类型</t>
  </si>
  <si>
    <t>达人简介</t>
  </si>
  <si>
    <t>达人标签</t>
  </si>
  <si>
    <t>粉丝量
（W）</t>
  </si>
  <si>
    <t>部分合作客户</t>
  </si>
  <si>
    <t>穿搭</t>
  </si>
  <si>
    <t>康康和爷爷</t>
  </si>
  <si>
    <t>爷爷教你如何穿出时尚潮流感</t>
  </si>
  <si>
    <t>Kangye1937</t>
  </si>
  <si>
    <t>穿搭、日常</t>
  </si>
  <si>
    <t>https://v.douyin.com/M3CUn1t/</t>
  </si>
  <si>
    <t>巴黎世家、gucci、宝格丽</t>
  </si>
  <si>
    <t>变装</t>
  </si>
  <si>
    <t>刀小刀sama</t>
  </si>
  <si>
    <t>超头部颜值达人</t>
  </si>
  <si>
    <t>xxx_One1</t>
  </si>
  <si>
    <t>颜值、变装</t>
  </si>
  <si>
    <t>https://v.douyin.com/EoRCNC/</t>
  </si>
  <si>
    <t>阿玛尼、OLAY、乌苏、伊利、VIVO、波司登、、凯迪拉克、哈弗、东风日产</t>
  </si>
  <si>
    <t>Sheep羊崽</t>
  </si>
  <si>
    <t>来自医学院的帅气少年</t>
  </si>
  <si>
    <t>https://v.douyin.com/F52xKBj/</t>
  </si>
  <si>
    <t>小米、云南白药</t>
  </si>
  <si>
    <t>徐三柒</t>
  </si>
  <si>
    <t>多元题材的剧情达人</t>
  </si>
  <si>
    <t>xusan777</t>
  </si>
  <si>
    <t>https://v.douyin.com/bmOwXBxZVL0/</t>
  </si>
  <si>
    <t>淘淘氧棉、膜法世家、</t>
  </si>
  <si>
    <t>管家小葛</t>
  </si>
  <si>
    <t>专注分享职业生活与心得</t>
  </si>
  <si>
    <t>butleralexge</t>
  </si>
  <si>
    <t>https://v.douyin.com/i5WxXkUV/</t>
  </si>
  <si>
    <t>深蓝、华为、英菲尼迪</t>
  </si>
  <si>
    <t>杭州/国外</t>
  </si>
  <si>
    <t>废柴一点</t>
  </si>
  <si>
    <t>独特的剧情、独特的视角</t>
  </si>
  <si>
    <t>dy0hsetdjyzk</t>
  </si>
  <si>
    <t>https://v.douyin.com/vG6xXKcEm1M/</t>
  </si>
  <si>
    <t>范琦、金松露巧克力、赖世家、四季保元</t>
  </si>
  <si>
    <t>美妆</t>
  </si>
  <si>
    <t>丝丝沈</t>
  </si>
  <si>
    <t>强势种草全能女神</t>
  </si>
  <si>
    <t>Wojiushishisi</t>
  </si>
  <si>
    <t>https://v.douyin.com/eVyoRpH/</t>
  </si>
  <si>
    <t>雅诗兰黛、丝芙兰、UD、曼秀雷敦、拉拜诗美瞳、小奥汀、花西子、荣耀等</t>
  </si>
  <si>
    <t>榴莲阿</t>
  </si>
  <si>
    <t>创意型博主</t>
  </si>
  <si>
    <t>LLA77888</t>
  </si>
  <si>
    <t>https://v.douyin.com/8fK-mzMbqx4/ 9@3.com</t>
  </si>
  <si>
    <t>飞科，炫迈、真我gt7、</t>
  </si>
  <si>
    <t>天巍霸霸</t>
  </si>
  <si>
    <t>搞笑女和猛男的强强结合记录情侣之间的搞笑互动</t>
  </si>
  <si>
    <t>twss666666</t>
  </si>
  <si>
    <t>情侣、搞笑</t>
  </si>
  <si>
    <t>https://v.douyin.com/6QeCELJ/</t>
  </si>
  <si>
    <t>PRADA、雅诗兰黛、天猫、点淘</t>
  </si>
  <si>
    <t>💓忘崽夫妇</t>
  </si>
  <si>
    <t>甜蜜一家三口</t>
  </si>
  <si>
    <t>CTLA8899</t>
  </si>
  <si>
    <t>https://v.douyin.com/eYqMACg/</t>
  </si>
  <si>
    <t>小雅象、帮宝适、吉列、贝尔等</t>
  </si>
  <si>
    <t>深圳</t>
  </si>
  <si>
    <t>达莎Digi</t>
  </si>
  <si>
    <t>俄罗斯模特的日常</t>
  </si>
  <si>
    <t>Dashalove</t>
  </si>
  <si>
    <t>日常、分享</t>
  </si>
  <si>
    <t>https://v.douyin.com/iJsMgCaF/</t>
  </si>
  <si>
    <t>兰蔻、施华蔻喷雾、YSL、娇兰金钻、MICHAEL KORS、芙丝voss、CASETiFY、</t>
  </si>
  <si>
    <t>广州、北京</t>
  </si>
  <si>
    <t>谢安然</t>
  </si>
  <si>
    <t>知名lolita模特</t>
  </si>
  <si>
    <t>https://v.douyin.com/ie2bqhFJ/</t>
  </si>
  <si>
    <t>麦当劳、ANNASUI、琦芙莉、哪吒汽车、玉兰油</t>
  </si>
  <si>
    <t>丝丝滴DIETGRRRL</t>
  </si>
  <si>
    <t>又甜又飒的鬼马穿搭女神</t>
  </si>
  <si>
    <t>日常、穿搭</t>
  </si>
  <si>
    <t>https://v.douyin.com/eVfJN5H/</t>
  </si>
  <si>
    <t>淘宝新势力、百丽、adidas、地素、斯凯奇、妖舞耳机等</t>
  </si>
  <si>
    <t>财经</t>
  </si>
  <si>
    <t>朴素之道</t>
  </si>
  <si>
    <t>看看真实世界的游戏规则； 聊聊学习成长与孩子教育。</t>
  </si>
  <si>
    <t>pusucaijing</t>
  </si>
  <si>
    <t>https://v.douyin.com/b6GOMqiezVg/</t>
  </si>
  <si>
    <t>瑷尔博士、舒适达</t>
  </si>
  <si>
    <t>特效</t>
  </si>
  <si>
    <t>青山坤</t>
  </si>
  <si>
    <t>成长系视觉特效博主，带你看不一样的4K世界。</t>
  </si>
  <si>
    <t>Qingshankun</t>
  </si>
  <si>
    <t>特效、变装</t>
  </si>
  <si>
    <t>https://v.douyin.com/iR6RY8xk/</t>
  </si>
  <si>
    <t>绝区零</t>
  </si>
  <si>
    <t>测评</t>
  </si>
  <si>
    <t>Bigger研究所</t>
  </si>
  <si>
    <t>好物发现官</t>
  </si>
  <si>
    <t>Biggeryjs</t>
  </si>
  <si>
    <t>生活、测评</t>
  </si>
  <si>
    <t>https://v.douyin.com/LWd4PfQ/</t>
  </si>
  <si>
    <t>VIVO、伊利、支付宝、福特、波司登</t>
  </si>
  <si>
    <t>TK玩数码</t>
  </si>
  <si>
    <t>数码种草测评</t>
  </si>
  <si>
    <t>sensenmu</t>
  </si>
  <si>
    <t>https://v.douyin.com/iMnTEUEQ/ 5</t>
  </si>
  <si>
    <t>老贺的科技</t>
  </si>
  <si>
    <t>专业的数码种草测评</t>
  </si>
  <si>
    <t>数码、测评</t>
  </si>
  <si>
    <t>https://v.douyin.com/Jn8Fe8S/</t>
  </si>
  <si>
    <t>JBL</t>
  </si>
  <si>
    <t>TK科技测评</t>
  </si>
  <si>
    <t>全能好物种草官</t>
  </si>
  <si>
    <t>tkyanxuan</t>
  </si>
  <si>
    <t>测评、好物种草</t>
  </si>
  <si>
    <t>https://v.douyin.com/6nnu3ep/</t>
  </si>
  <si>
    <t>美诺吸尘器、奇瑞、淘宝、珂莱欧、三星、红豆男装等</t>
  </si>
  <si>
    <t>骐柒柒科技测评</t>
  </si>
  <si>
    <t>数码干货| 实用技巧|科技测评</t>
  </si>
  <si>
    <t>senhuoduo</t>
  </si>
  <si>
    <t>https://v.douyin.com/iSkaX3wK/ 7@4.com</t>
  </si>
  <si>
    <t>柒柒科技测评</t>
  </si>
  <si>
    <t>十年数码从业开发 数码科技达人</t>
  </si>
  <si>
    <t>chenduomu</t>
  </si>
  <si>
    <t>https://v.douyin.com/Rxq1VX9/</t>
  </si>
  <si>
    <t>木 木</t>
  </si>
  <si>
    <t>情侣账号女主角，颜值类达人，适合行业：美妆、服饰、游戏等</t>
  </si>
  <si>
    <t>satrll</t>
  </si>
  <si>
    <t>https://v.douyin.com/iM2BnUWc/</t>
  </si>
  <si>
    <t>瑞尔.</t>
  </si>
  <si>
    <t>镜头下的多面故事王，亦是氛围感狙击手
可盐可甜的眼神戏、张力十足的表演派、每一帧都是电影质感！</t>
  </si>
  <si>
    <t>ruierhh</t>
  </si>
  <si>
    <t>https://v.douyin.com/qtWVvJiFOXw/</t>
  </si>
  <si>
    <t>古茗、</t>
  </si>
  <si>
    <t>小电电🌻</t>
  </si>
  <si>
    <t>充满正能量的女摩友</t>
  </si>
  <si>
    <t>DD6767DD</t>
  </si>
  <si>
    <t>机车、日常</t>
  </si>
  <si>
    <t>https://v.douyin.com/A8oV6Rg/</t>
  </si>
  <si>
    <t>乌苏啤酒、威克士洗车机、雅迪电动车、小米13、oppowatch3、电小二户外电源</t>
  </si>
  <si>
    <t>河南</t>
  </si>
  <si>
    <t>【OST传媒】小红书报价</t>
  </si>
  <si>
    <t>小红书昵称</t>
  </si>
  <si>
    <t>小红书号</t>
  </si>
  <si>
    <t>账号简介</t>
  </si>
  <si>
    <t>粉丝量（W）</t>
  </si>
  <si>
    <t>赞藏量（W）</t>
  </si>
  <si>
    <t>常驻地</t>
  </si>
  <si>
    <t>报备图文（单品）</t>
  </si>
  <si>
    <t>报备视频（单品）</t>
  </si>
  <si>
    <t>合集单品</t>
  </si>
  <si>
    <t>达人主页</t>
  </si>
  <si>
    <t>蒲公英主页</t>
  </si>
  <si>
    <t>【美妆/护肤】</t>
  </si>
  <si>
    <t>🎨重庆素人改造师 | 换头级化妆术 | 用技术让每个女孩发现自己的美💫</t>
  </si>
  <si>
    <t>美妆/改造</t>
  </si>
  <si>
    <t>图文单坑22000
视频单坑28000
不拍改造</t>
  </si>
  <si>
    <t>https://www.xiaohongshu.com/user/profile/5d9c4619000000000100b1c0?xhsshare=CopyLink&amp;appuid=5f6887c9000000000100b2fc&amp;apptime=1691991561</t>
  </si>
  <si>
    <t>https://pgy.xiaohongshu.com/solar/pre-trade/blogger-detail/5d9c4619000000000100b1c0?track_id=kolSearch_0c134ff113144bb3bd24c1c8e40c9910&amp;source=Advertiser_Kol</t>
  </si>
  <si>
    <t>babyxx0731</t>
  </si>
  <si>
    <t>👑机械辣妹风 | 欧美妆教+穿搭 | 逆袭变美指南💋</t>
  </si>
  <si>
    <t>时尚/穿搭/美妆</t>
  </si>
  <si>
    <t>https://www.xiaohongshu.com/user/profile/61a60fe70000000010005673?xhsshare=CopyLink&amp;appuid=5abb1ddc4eacab7df3804e90&amp;apptime=1646106950</t>
  </si>
  <si>
    <t>https://pgy.xiaohongshu.com/solar/pre-trade/blogger-detail/61a60fe70000000010005673?track_id=kolSearch_4e0020d93e8f4404af08b7b167ef41dd&amp;source=Advertiser_Kol</t>
  </si>
  <si>
    <t>野生种草机 | 学生党平价好物 | 百元内搞定全套精致妆容💅</t>
  </si>
  <si>
    <t>美妆/种草/分享/VLOG</t>
  </si>
  <si>
    <t>合集12000</t>
  </si>
  <si>
    <t>https://www.xiaohongshu.com/user/profile/5a813a144eacab5b9d72c400?xhsshare=CopyLink&amp;appuid=5f6887c9000000000100b2fc&amp;apptime=1723700841&amp;share_id=704b384e90fa4a349ec425d10d3c571b</t>
  </si>
  <si>
    <t>https://pgy.xiaohongshu.com/solar/pre-trade/blogger-detail/5a813a144eacab5b9d72c400?track_id=kolSearch_a6b116f5d0f1473faccb5233122861d9&amp;source=Advertiser_Kol</t>
  </si>
  <si>
    <t>audrii</t>
  </si>
  <si>
    <t>留学生活志 | 海外好物+跨文化vlog | 3W粉打造27W赞的精致留学图鉴🌍</t>
  </si>
  <si>
    <t>美妆/留学生活/好物分享/vlog</t>
  </si>
  <si>
    <t>合集视频3500</t>
  </si>
  <si>
    <t>https://www.xiaohongshu.com/user/profile/5b001a854eacab46d3308d84?language=zh-CN</t>
  </si>
  <si>
    <t>https://pgy.xiaohongshu.com/solar/pre-trade/blogger-detail/5b001a854eacab46d3308d84?track_id=kolSearch_ab766fc69d734a6c911cb7086a3347fb&amp;source=Advertiser_Kol</t>
  </si>
  <si>
    <t>张什什不是倩妮</t>
  </si>
  <si>
    <t>多面手博主 | 通勤妆教+快时尚测评 | 打工人变美性价比之选👠</t>
  </si>
  <si>
    <t>妆容/好物/穿搭/护肤</t>
  </si>
  <si>
    <t>合集10000</t>
  </si>
  <si>
    <t>https://www.xiaohongshu.com/user/profile/5a026bc94eacab345d40800b?xhsshare=CopyLink&amp;appuid=5f6887c9000000000100b2fc&amp;apptime=1706512965</t>
  </si>
  <si>
    <t>https://pgy.xiaohongshu.com/solar/pre-trade/blogger-detail/5a026bc94eacab345d40800b?track_id=kolSearch_621d32718c224318be729c41e4b3f0f2&amp;source=Advertiser_Kol</t>
  </si>
  <si>
    <t>甜酷女孩 | JK制服+千禧辣妹风 | Y2K美学复兴计划🪩</t>
  </si>
  <si>
    <t>美妆/日常/穿搭</t>
  </si>
  <si>
    <t>https://www.xiaohongshu.com/user/profile/591d50e582ec397ced16b902?xhsshare=CopyLink&amp;appuid=5f6887c9000000000100b2fc&amp;apptime=1682411995</t>
  </si>
  <si>
    <t>https://pgy.xiaohongshu.com/solar/pre-trade/blogger-detail/591d50e582ec397ced16b902?track_id=kolSearch_f2607d75dc404d26836275650a90d789&amp;source=Advertiser_Kol</t>
  </si>
  <si>
    <t>辰TK测评</t>
  </si>
  <si>
    <t>luoexist</t>
  </si>
  <si>
    <t>🔍成分党硬核测评师 | 平价彩妆实测 | 只说真话的美妆课代表💄</t>
  </si>
  <si>
    <t>美妆/护肤/测评</t>
  </si>
  <si>
    <t>https://www.xiaohongshu.com/user/profile/5876137c82ec392876477d49?xhsshare=CopyLink&amp;appuid=5876137c82ec392876477d49&amp;apptime=1559476421</t>
  </si>
  <si>
    <t>https://pgy.xiaohongshu.com/solar/pre-trade/blogger-detail/5876137c82ec392876477d49?track_id=kolSearch_69ed0984c006499aadca3a698fa54920&amp;source=Advertiser_Kol</t>
  </si>
  <si>
    <t>【日常/VLOG】</t>
  </si>
  <si>
    <t>xiaohoubo</t>
  </si>
  <si>
    <t>沙雕日常 | 脑洞剧情+神反转 | 用幽默对抗生活的无聊日常🎭</t>
  </si>
  <si>
    <t>日常/随拍/搞笑</t>
  </si>
  <si>
    <t>https://www.xiaohongshu.com/user/profile/5bb1fa139cb8ac00010e9eb6?xsec_token=YBDUZ4c5dcRd_UcofHvuhGrjkoio2q83NCeGSNsncG5E0=&amp;xsec_source=app_share&amp;xhsshare=CopyLink&amp;appuid=5f6887c9000000000100b2fc&amp;apptime=1741680725&amp;share_id=46d09b047e754326a2f7c6016fc59d94</t>
  </si>
  <si>
    <t>https://pgy.xiaohongshu.com/solar/pre-trade/blogger-detail/5bb1fa139cb8ac00010e9eb6?track_id=</t>
  </si>
  <si>
    <t>健身戏精 | 增肌食谱+健身喜剧 | 笑出腹肌的塑形指南😂</t>
  </si>
  <si>
    <t>健身/剧情/日常</t>
  </si>
  <si>
    <t>https://www.xiaohongshu.com/user/profile/5fcf254b0000000001000dc1?xhsshare=CopyLink&amp;appuid=5f6887c9000000000100b2fc&amp;apptime=1685499908</t>
  </si>
  <si>
    <t>https://pgy.xiaohongshu.com/solar/pre-trade/blogger-detail/5fcf254b0000000001000dc1?track_id=kolSearch_6b9d38da35fa40eba6b620d4a633d09f&amp;source=Advertiser_Kol</t>
  </si>
  <si>
    <t>yaner957</t>
  </si>
  <si>
    <r>
      <rPr>
        <sz val="9"/>
        <color rgb="FF08090C"/>
        <rFont val="宋体"/>
        <charset val="134"/>
      </rPr>
      <t>✨</t>
    </r>
    <r>
      <rPr>
        <sz val="9"/>
        <color rgb="FF08090C"/>
        <rFont val="微软雅黑"/>
        <charset val="134"/>
      </rPr>
      <t>精致生活家 | 美妆干货+氛围感穿搭 | 用镜头记录城市浪漫美学🌆</t>
    </r>
  </si>
  <si>
    <t>时尚/美妆/拍照/生活方式</t>
  </si>
  <si>
    <t>35000
备注：视频内容不做剧情，做好物分享类</t>
  </si>
  <si>
    <t>https://www.xiaohongshu.com/user/profile/5cb427010000000017018af8?language=zh-CN</t>
  </si>
  <si>
    <t>https://pgy.xiaohongshu.com/solar/pre-trade/blogger-detail/5cb427010000000017018af8?track_id=kolSearch_ab957022be6744d494f8577207c844f9&amp;source=Advertiser_Kol</t>
  </si>
  <si>
    <t>生活观察员｜用镜头捕捉日常里的小点滴｜用简单方式解锁生活乐趣</t>
  </si>
  <si>
    <t>日常/创意/剧情</t>
  </si>
  <si>
    <t>https://www.xiaohongshu.com/user/profile/5988a08250c4b438e2221e0d</t>
  </si>
  <si>
    <t>https://pgy.xiaohongshu.com/solar/pre-trade/blogger-detail/5988a08250c4b438e2221e0d?track_id=kolSearch_968f0410d7154a91a274acdd686dea65&amp;source=Advertiser_Kol</t>
  </si>
  <si>
    <r>
      <rPr>
        <sz val="9"/>
        <color rgb="FF08090C"/>
        <rFont val="微软雅黑"/>
        <charset val="134"/>
      </rPr>
      <t>📸 | 胶片滤镜教程+探店打卡 | 普通日子也要闪闪发光</t>
    </r>
    <r>
      <rPr>
        <sz val="9"/>
        <color rgb="FF08090C"/>
        <rFont val="宋体"/>
        <charset val="134"/>
      </rPr>
      <t>✨</t>
    </r>
  </si>
  <si>
    <t>拍照/时尚/生活方式</t>
  </si>
  <si>
    <t>备注：视频内容不做剧情，做好物分享类</t>
  </si>
  <si>
    <t>https://www.xiaohongshu.com/user/profile/601d48c2000000000101e66a?language=zh-CN</t>
  </si>
  <si>
    <t>https://pgy.xiaohongshu.com/solar/pre-trade/blogger-detail/601d48c2000000000101e66a?track_id=kolSearch_daa082264a03422989c91a4da391e036&amp;source=Advertiser_Kol</t>
  </si>
  <si>
    <t>飞飞LF</t>
  </si>
  <si>
    <t>短剧演员 | 独居生活 | 城市探店</t>
  </si>
  <si>
    <t>日常/探店/剧情</t>
  </si>
  <si>
    <t>https://www.xiaohongshu.com/user/profile/5f685cfe0000000001007dcb</t>
  </si>
  <si>
    <t>https://pgy.xiaohongshu.com/solar/pre-trade/blogger-detail/5f685cfe0000000001007dcb?track_id=</t>
  </si>
  <si>
    <t>👜轻复古穿搭教主 | 一衣多搭+质感生活 | 用vlog带你看人间烟火与高光时刻🎬</t>
  </si>
  <si>
    <t>vlog/穿搭/生活方式</t>
  </si>
  <si>
    <t>https://www.xiaohongshu.com/user/profile/5fbf55ac00000000010054ec?language=zh-CN</t>
  </si>
  <si>
    <t>https://pgy.xiaohongshu.com/solar/pre-trade/blogger-detail/5fbf55ac00000000010054ec?track_id=kolSearch_a8e059b9d6fc4b2ca7c93b6ec5369a22&amp;source=Advertiser_Kol</t>
  </si>
  <si>
    <t>星了个星</t>
  </si>
  <si>
    <t>日常唠嗑吐槽+沙雕情景剧</t>
  </si>
  <si>
    <t>日常/随拍/分享</t>
  </si>
  <si>
    <t>商丘</t>
  </si>
  <si>
    <t>https://xhslink.com/m/9bw3tqf40tn</t>
  </si>
  <si>
    <t>https://pgy.xiaohongshu.com/solar/pre-trade/blogger-detail/611d15d0000000000100ad88?track_id=kolSearch_417f4eb217844f4c9e144f13e6dea512&amp;source=Advertiser_Kol</t>
  </si>
  <si>
    <t>小雪日记（初夏版）</t>
  </si>
  <si>
    <r>
      <rPr>
        <sz val="9"/>
        <color rgb="FF08090C"/>
        <rFont val="微软雅黑"/>
        <charset val="134"/>
      </rPr>
      <t>短剧演员 | 独居生活+探店plog | 用镜头收藏城市温柔角落</t>
    </r>
    <r>
      <rPr>
        <sz val="9"/>
        <color rgb="FF08090C"/>
        <rFont val="宋体"/>
        <charset val="134"/>
      </rPr>
      <t>☕</t>
    </r>
  </si>
  <si>
    <t>日常/美妆/VLOG/随拍</t>
  </si>
  <si>
    <t>https://www.xiaohongshu.com/user/profile/5fa362a30000000001000747?language=zh-CN</t>
  </si>
  <si>
    <t>https://pgy.xiaohongshu.com/solar/pre-trade/blogger-detail/5fa362a30000000001000747?track_id=kolSearch_29ad4d6b12c840b4b88a7efc15e5f424&amp;source=Advertiser_Kol</t>
  </si>
  <si>
    <t>情感剧场 | 都市男女图鉴 | 3分钟带你尝遍人生百态📼</t>
  </si>
  <si>
    <t>日常/剧情/情感</t>
  </si>
  <si>
    <t>https://www.xiaohongshu.com/user/profile/60afd8b00000000001008d94?xhsshare=CopyLink&amp;appuid=5f6887c9000000000100b2fc&amp;apptime=1690434083</t>
  </si>
  <si>
    <t>https://pgy.xiaohongshu.com/solar/pre-trade/blogger-detail/60afd8b00000000001008d94?track_id=kolSearch_bf55ff7945af48ff9d4168c02a229a35&amp;source=Advertiser_Kol</t>
  </si>
  <si>
    <t>情感剧场 | 演绎小说男女图鉴 | 短剧演员日常</t>
  </si>
  <si>
    <t>日常/剧情/情侣/VLOG</t>
  </si>
  <si>
    <t>VLOG种草价格50000</t>
  </si>
  <si>
    <t>https://www.xiaohongshu.com/user/profile/5c45ebaa000000001200329e?xsec_token=YBsiOG2ebavLhZJW98-L4nmYd90amYoH0Q5uj6ZIlEbrc=&amp;xsec_source=app_share&amp;xhsshare=CopyLink&amp;appuid=5f6887c9000000000100b2fc&amp;apptime=1750659247&amp;share_id=b27eb940d3854fa088e551b6f711bc1e</t>
  </si>
  <si>
    <t>https://pgy.xiaohongshu.com/solar/pre-trade/blogger-detail/5c45ebaa000000001200329e?track_id=kolSearch_9d9ee6e9b8ba4d7388a1ed4c03d910d5&amp;source=Advertiser_Kol</t>
  </si>
  <si>
    <t>🎮次元破壁者 | 神级COS+剧情变装 | 带你穿梭二次元与三次元的边界🚪
 | 游戏/3C产品跨界营销 |</t>
  </si>
  <si>
    <t>COS/时尚/变装/剧情</t>
  </si>
  <si>
    <t>https://www.xiaohongshu.com/user/profile/5c6836cc0000000011031924?xhsshare=CopyLink&amp;appuid=5f6887c9000000000100b2fc&amp;apptime=1668403653</t>
  </si>
  <si>
    <t>https://pgy.xiaohongshu.com/solar/pre-trade/blogger-detail/5c6836cc0000000011031924?track_id=kolSearch_f4e808acff004094b33d62e33fdcf8c6&amp;source=Advertiser_Kol</t>
  </si>
  <si>
    <t>黄锐铨</t>
  </si>
  <si>
    <t>情侣博主 | 同居日记+双人穿搭 | 磕糖现场的日常撒狗粮🍬</t>
  </si>
  <si>
    <t>生活方式/情侣</t>
  </si>
  <si>
    <t>https://www.xiaohongshu.com/user/profile/5c886d4a000000001103062a?language=zh-CN</t>
  </si>
  <si>
    <t>https://pgy.xiaohongshu.com/solar/pre-trade/blogger-detail/5c886d4a000000001103062a?track_id=kolSearch_aec86d67bd964e3995787b9924f8d884&amp;source=Advertiser_Kol</t>
  </si>
  <si>
    <t>连蜜呀</t>
  </si>
  <si>
    <t>旅行博主 | 民宿试睡官+城市漫步 | 治愈系慢生活指南🚶♀️</t>
  </si>
  <si>
    <t>出游旅行/生活记录</t>
  </si>
  <si>
    <t>https://www.xiaohongshu.com/user/profile/5a9e4fd2e8ac2b28058cc6bc?xhsshare=CopyLink&amp;appuid=5bb0616f7d87110001b9d058&amp;apptime=1660629996</t>
  </si>
  <si>
    <t>https://pgy.xiaohongshu.com/solar/pre-trade/blogger-detail/5a9e4fd2e8ac2b28058cc6bc?track_id=kolSearch_3eea07c3e7a24c3f8cc3373d9bf49ae2&amp;source=Advertiser_Kol</t>
  </si>
  <si>
    <r>
      <rPr>
        <sz val="9"/>
        <color rgb="FF08090C"/>
        <rFont val="微软雅黑"/>
        <charset val="134"/>
      </rPr>
      <t>清冷系美人 | 破碎感妆容+氛围写真 | 粉丝都在学的「易碎感」打造术</t>
    </r>
    <r>
      <rPr>
        <sz val="9"/>
        <color rgb="FF08090C"/>
        <rFont val="宋体"/>
        <charset val="134"/>
      </rPr>
      <t>❄</t>
    </r>
    <r>
      <rPr>
        <sz val="9"/>
        <color rgb="FF08090C"/>
        <rFont val="微软雅黑"/>
        <charset val="134"/>
      </rPr>
      <t>️</t>
    </r>
  </si>
  <si>
    <t>颜值/日常</t>
  </si>
  <si>
    <t>https://www.xiaohongshu.com/user/profile/5ca7791c000000001703d920?xhsshare=CopyLink&amp;appuid=5f6887c9000000000100b2fc&amp;apptime=1698031379</t>
  </si>
  <si>
    <t>https://pgy.xiaohongshu.com/solar/pre-trade/blogger-detail/5ca7791c000000001703d920?track_id=kolSearch_d3fcc24a5ddf477d979bf14e3fe5ffed&amp;source=Advertiser_Kol</t>
  </si>
  <si>
    <t>一航</t>
  </si>
  <si>
    <t>🎎古风新锐创作者 | 汉服混搭 | 让传统文化酷起来的弄潮儿🎏</t>
  </si>
  <si>
    <t>时尚/古风/剧情</t>
  </si>
  <si>
    <t>https://www.xiaohongshu.com/user/profile/5f2e0669000000000101c68b?language=zh-CN</t>
  </si>
  <si>
    <t>https://pgy.xiaohongshu.com/solar/pre-trade/blogger-detail/5f2e0669000000000101c68b?track_id=kolSearch_366a708dbb8a4624baf7c246bbe47c2b&amp;source=Advertiser_Kol</t>
  </si>
  <si>
    <t>nv张九九</t>
  </si>
  <si>
    <t>chenruwen03</t>
  </si>
  <si>
    <t>记录生活 | 分享日常 | 酒蒙子的日常vlog</t>
  </si>
  <si>
    <t>生活/日常/</t>
  </si>
  <si>
    <t>https://www.xiaohongshu.com/user/profile/5b5d36c7e8ac2b35b1e6213d?xsec_token=YBEepMIBK0zQl-4EoDBDhFSBp6V1pAbYYDR-B5Msn_vVA=&amp;xsec_source=app_share&amp;xhsshare=CopyLink&amp;appuid=5f6887c9000000000100b2fc&amp;apptime=1752820243&amp;share_id=cdd7a7183a7d41f289decdc3a8373b29</t>
  </si>
  <si>
    <t>https://pgy.xiaohongshu.com/solar/pre-trade/blogger-detail/5b5d36c7e8ac2b35b1e6213d?track_id=</t>
  </si>
  <si>
    <t>🎭广深情感剧场 |情侣生活手册 | 7W粉共鸣的都市人生观察录📽</t>
  </si>
  <si>
    <t>https://www.xiaohongshu.com/user/profile/642f09e60000000029011b9e?xhsshare=CopyLink&amp;appuid=5f6887c9000000000100b2fc&amp;apptime=1713341457</t>
  </si>
  <si>
    <t>https://pgy.xiaohongshu.com/solar/pre-trade/blogger-detail/642f09e60000000029011b9e?track_id=kolSearch_9f32b438ea584760ba43c1cf96f2fb9b&amp;source=Advertiser_Kol</t>
  </si>
  <si>
    <t>vvyj0812</t>
  </si>
  <si>
    <t>💎 高端生活方式探索者 | 质感美学博主</t>
  </si>
  <si>
    <t>时尚/vlog/拍照/生活/探店</t>
  </si>
  <si>
    <t>https://www.xiaohongshu.co
m/user/profile/5b4f5fcb11
be106513a09b1c</t>
  </si>
  <si>
    <t>https://pgy.xiaohongshu.com/solar/pre-trade/blogger-detail/5b4f5fcb11be106513a09b1c?track_id=kolSearch_5898afae8ddc45e5b64749b791f59335&amp;source=Advertiser_Kol</t>
  </si>
  <si>
    <t>Lorinaxxq4687</t>
  </si>
  <si>
    <t>时尚/vlog/拍照/探店</t>
  </si>
  <si>
    <t>https://xhslink.com/m/1X5PzJxj7OU</t>
  </si>
  <si>
    <t>💓忘崽夫妇-睿睿和斌斌的日记本</t>
  </si>
  <si>
    <t>💑小夫妻的撒糖日常 | 同居趣事+情侣穿搭 | 把普通日子过成偶像剧📺</t>
  </si>
  <si>
    <t>日常/情侣</t>
  </si>
  <si>
    <t>https://www.xiaohongshu.com/user/profile/5bb2ee2cbb1c740001fb8731?xhsshare=CopyLink&amp;appuid=5f6887c9000000000100b2fc&amp;apptime=1691569990</t>
  </si>
  <si>
    <t>https://pgy.xiaohongshu.com/solar/pre-trade/blogger-detail/5bb2ee2cbb1c740001fb8731?track_id=kolSearch_645edcebb0e6403993bfd65c04c7f79f&amp;source=Advertiser_Kol</t>
  </si>
  <si>
    <t>Q秦文龙</t>
  </si>
  <si>
    <t>电竞男神 | 游戏日常+直男穿搭</t>
  </si>
  <si>
    <t>日常/游戏/颜值</t>
  </si>
  <si>
    <t>https://www.xiaohongshu.com/user/profile/5fd1ec020000000001006b13?xhsshare=CopyLink&amp;appuid=5bb0616f7d87110001b9d058&amp;apptime=1660629721</t>
  </si>
  <si>
    <t>https://pgy.xiaohongshu.com/solar/pre-trade/blogger-detail/5fd1ec020000000001006b13?track_id=kolSearch_7e9d11a4e305418d8c5f4c52fd234ca4&amp;source=Advertiser_Kol</t>
  </si>
  <si>
    <t>【时尚/穿搭】</t>
  </si>
  <si>
    <r>
      <rPr>
        <sz val="9"/>
        <color rgb="FF08090C"/>
        <rFont val="微软雅黑"/>
        <charset val="134"/>
      </rPr>
      <t>👴👦祖孙时尚拍档 | 跨代际穿搭灵感 | 温暖又时髦的亲情日记</t>
    </r>
    <r>
      <rPr>
        <sz val="9"/>
        <color rgb="FF08090C"/>
        <rFont val="宋体"/>
        <charset val="134"/>
      </rPr>
      <t>❤</t>
    </r>
    <r>
      <rPr>
        <sz val="9"/>
        <color rgb="FF08090C"/>
        <rFont val="微软雅黑"/>
        <charset val="134"/>
      </rPr>
      <t>️</t>
    </r>
  </si>
  <si>
    <t>时尚/穿搭</t>
  </si>
  <si>
    <t>https://www.xiaohongshu.com/user/profile/5f4dde330000000001005ae2?xhsshare=CopyLink&amp;appuid=5f6887c9000000000100b2fc&amp;apptime=1692254448</t>
  </si>
  <si>
    <t>https://pgy.xiaohongshu.com/solar/pre-trade/blogger-detail/5f4dde330000000001005ae2?track_id=kolSearch_899ac3c3487c49548f9d6b3634955aae&amp;source=Advertiser_Kol</t>
  </si>
  <si>
    <t>dashababy</t>
  </si>
  <si>
    <t>💃穿梭各地的时髦精 | 小众穿搭+OOTD | 模特的小众日常分享🛍️</t>
  </si>
  <si>
    <t>vlog/时尚/穿搭</t>
  </si>
  <si>
    <t>https://www.xiaohongshu.com/user/profile/5fc9c5480000000001004b0e?xhsshare=CopyLink&amp;appuid=5f6887c9000000000100b2fc&amp;apptime=1692700093</t>
  </si>
  <si>
    <t>https://pgy.xiaohongshu.com/solar/pre-trade/blogger-detail/5fc9c5480000000001004b0e?track_id=kolSearch_6ac73a13dbea4ce99c688d37b52ebfe9&amp;source=Advertiser_Kol</t>
  </si>
  <si>
    <t>深耕复古港风+新中式美学</t>
  </si>
  <si>
    <t>贵阳</t>
  </si>
  <si>
    <t>https://www.xiaohongshu.com/user/profile/5abb4021e8ac2b7f7e18a76c</t>
  </si>
  <si>
    <t>https://pgy.xiaohongshu.com/solar/pre-trade/blogger-detail/5abb4021e8ac2b7f7e18a76c?track_id=kolSearch_91b40460324143b6abd7c0914a1118ed&amp;source=Advertiser_Kol</t>
  </si>
  <si>
    <r>
      <rPr>
        <sz val="9"/>
        <color rgb="FF08090C"/>
        <rFont val="微软雅黑"/>
        <charset val="134"/>
      </rPr>
      <t>小个子穿搭公式+质感单品 | 普通人也能穿出明星氛围感</t>
    </r>
    <r>
      <rPr>
        <sz val="9"/>
        <color rgb="FF08090C"/>
        <rFont val="宋体"/>
        <charset val="134"/>
      </rPr>
      <t>✨</t>
    </r>
  </si>
  <si>
    <t>颜值/时尚/穿搭</t>
  </si>
  <si>
    <t>https://www.xiaohongshu.com/user/profile/5f4e07d2000000000101d5eb?xhsshare=CopyLink&amp;appuid=5f6887c9000000000100b2fc&amp;apptime=1699496214</t>
  </si>
  <si>
    <t>https://pgy.xiaohongshu.com/solar/pre-trade/blogger-detail/5f4e07d2000000000101d5eb?track_id=kolSearch_15a6e0fabc364f898086f65ebde63732&amp;source=Advertiser_Kol</t>
  </si>
  <si>
    <t>靖雅欧尼</t>
  </si>
  <si>
    <t>🌸 轻熟风穿搭| 精致生活家
💄 街头氛围感轻松拿捏！</t>
  </si>
  <si>
    <t>生活记录/出行旅游/VLOG</t>
  </si>
  <si>
    <t>https://www.xiaohongshu.com/user/profile/5ff947cb000000000101d8ac?xhsshare=CopyLink&amp;appuid=5f6887c9000000000100b2fc&amp;apptime=1684128014</t>
  </si>
  <si>
    <t>https://pgy.xiaohongshu.com/solar/pre-trade/blogger-detail/5ff947cb000000000101d8ac?track_id=kolSearch_2e20515045d445fb82f92f1edf5d58eb&amp;source=Advertiser_Kol</t>
  </si>
  <si>
    <t>街拍剧作家 | 穿搭剧场+探店奇遇 | 用剧情解锁时尚的N种可能🎬</t>
  </si>
  <si>
    <t>时尚/穿搭/探店/剧情</t>
  </si>
  <si>
    <t>https://www.xiaohongshu.com/user/profile/5f508cb8000000000100baa4?language=zh-CN</t>
  </si>
  <si>
    <t>https://pgy.xiaohongshu.com/solar/pre-trade/blogger-detail/5f508cb8000000000100baa4?track_id=kolSearch_61be879a4c4d4aa3b11788d1a18e6bff&amp;source=Advertiser_Kol</t>
  </si>
  <si>
    <t>玉总Lesley</t>
  </si>
  <si>
    <t>霸道女总裁的职场变装秀 | 珠宝+穿搭| 教你把职场变成秀场T台👠</t>
  </si>
  <si>
    <t>剧情/时尚/生活方式</t>
  </si>
  <si>
    <t>https://www.xiaohongshu.com/user/profile/5ed4909b0000000001002d4f?language=zh-CN</t>
  </si>
  <si>
    <t>https://pgy.xiaohongshu.com/solar/pre-trade/blogger-detail/5ed4909b0000000001002d4f?track_id=kolSearch_34a6ace8a0a54d8bb1a4191e1c7b5e12&amp;source=Advertiser_Kol</t>
  </si>
  <si>
    <t>直男日常 | 情侣生活+穿搭指南 | 生活分享者</t>
  </si>
  <si>
    <t>时尚/颜值</t>
  </si>
  <si>
    <t>https://www.xiaohongshu.com/user/profile/5c9187d70000000011009340?xhsshare=CopyLink&amp;appuid=5f6887c9000000000100b2fc&amp;apptime=1689591526</t>
  </si>
  <si>
    <t>https://pgy.xiaohongshu.com/solar/pre-trade/blogger-detail/5c9187d70000000011009340?track_id=kolSearch_3c260d82929647958415a94a180bb98d&amp;source=Advertiser_Kol</t>
  </si>
  <si>
    <t>穿搭王 | 悬疑探店+OOTD剧场 | 用故事重新定义潮流叙事📼</t>
  </si>
  <si>
    <t>https://www.xiaohongshu.com/user/profile/60c9d9cb0000000001009e2a?language=zh-CN</t>
  </si>
  <si>
    <t>https://pgy.xiaohongshu.com/solar/pre-trade/blogger-detail/60c9d9cb0000000001009e2a?track_id=kolSearch_80e82a9105a04fa381f4159f3b27538e&amp;source=Advertiser_Kol</t>
  </si>
  <si>
    <t>【传统文化】</t>
  </si>
  <si>
    <t>国风变装天花板 | 非遗文化新演绎 | 每帧都是电影级视觉盛宴🎇</t>
  </si>
  <si>
    <t>变装/剧情/弘扬传统文化</t>
  </si>
  <si>
    <t>200000（分发）</t>
  </si>
  <si>
    <t>https://www.xiaohongshu.com/user/profile/63427e74000000001802fe3e?xhsshare=CopyLink&amp;appuid=5f6887c9000000000100b2fc&amp;apptime=1669968325</t>
  </si>
  <si>
    <t>https://pgy.xiaohongshu.com/solar/pre-trade/blogger-detail/63427e74000000001802fe3e?track_id=kolSearch_cfb71f6ef9f944f48cdbf947084baea3&amp;source=Advertiser_Kol</t>
  </si>
  <si>
    <t>成都文化背包客 | 冷门景点+方言段子
文旅内容稀缺赛道 | 本地文旅项目推广</t>
  </si>
  <si>
    <t>旅游文化/段子</t>
  </si>
  <si>
    <t>https://www.xiaohongshu.com/user/profile/5f31dd7e00000000010001fa?xhsshare=CopyLink&amp;appuid=5f6887c9000000000100b2fc&amp;apptime=1688612831</t>
  </si>
  <si>
    <t>https://pgy.xiaohongshu.com/solar/pre-trade/blogger-detail/5f31dd7e00000000010001fa?track_id=kolSearch_a1b332f63bf14fc8b280e0cb0a076565&amp;source=Advertiser_Kol</t>
  </si>
  <si>
    <t>11387762825</t>
  </si>
  <si>
    <t>舞蹈 |传统文化 |古风</t>
  </si>
  <si>
    <t>舞蹈/传统文化/古风</t>
  </si>
  <si>
    <t>https://www.xiaohongshu.com/user/profile/664b850500000000070048eb</t>
  </si>
  <si>
    <t>https://pgy.xiaohongshu.com/solar/pre-trade/blogger-detail/664b850500000000070048eb?track_id=</t>
  </si>
  <si>
    <t>🏆 2019《中国新说唱》全国总冠军 | 
💪 健身房里最会Rap的 | 舞台上最“硬”的</t>
  </si>
  <si>
    <t>日常/音乐</t>
  </si>
  <si>
    <t>https://www.xiaohongshu.com/user/profile/6178e364000000001f0386d1?xsec_token=YBQJZAZCsBmKOQNdleZn1Y1FWNdUlZCwV0QNxLjb-Lf_U=&amp;xsec_source=app_share&amp;xhsshare=CopyLink&amp;appuid=5f6887c9000000000100b2fc&amp;apptime=1753955757&amp;share_id=b46535965ac34929a7087838894f56ba</t>
  </si>
  <si>
    <t>家务界最rapper的姐！🎤 整理房间也能燃炸，即兴说唱句句戳心，翻唱改编魔性又治愈~ 生活百味皆可成歌，品牌植入超带感！关注我，解锁家务新BGM！</t>
  </si>
  <si>
    <t>https://xhslink.com/m/5UgcvtObNbD</t>
  </si>
  <si>
    <t>https://pgy.xiaohongshu.com/solar/pre-trade/blogger-detail/63135ed0000000001200e086?track_id=</t>
  </si>
  <si>
    <t>【汽车/测评】</t>
  </si>
  <si>
    <t>车圈段子手 | 硬核测评+趣味科普 | 把发动机讲成脱口秀的汽车博主🚘</t>
  </si>
  <si>
    <t>汽车/生活</t>
  </si>
  <si>
    <t>https://www.xiaohongshu.com/user/profile/612f5616000000000201db0b?language=zh-CN</t>
  </si>
  <si>
    <t>https://pgy.xiaohongshu.com/solar/pre-trade/blogger-detail/612f5616000000000201db0b?track_id=kolSearch_9e73eb1875e74f989bceae0bb29f7fd6&amp;source=Advertiser_Kol</t>
  </si>
  <si>
    <t>极速马力Part</t>
  </si>
  <si>
    <r>
      <rPr>
        <sz val="9"/>
        <color rgb="FF08090C"/>
        <rFont val="宋体"/>
        <charset val="134"/>
      </rPr>
      <t>⚡</t>
    </r>
    <r>
      <rPr>
        <sz val="9"/>
        <color rgb="FF08090C"/>
        <rFont val="微软雅黑"/>
        <charset val="134"/>
      </rPr>
      <t>成都性能控 | 改装指南+赛道体验 | 极速人生纪录片🎥</t>
    </r>
  </si>
  <si>
    <t>2000（分发）</t>
  </si>
  <si>
    <t>https://www.xiaohongshu.com/user/profile/5b2de90311be1024e027ab8c?xhsshare=CopyLink&amp;appuid=5f6887c9000000000100b2fc&amp;apptime=1679989323</t>
  </si>
  <si>
    <t>https://pgy.xiaohongshu.com/solar/pre-trade/blogger-detail/5b2de90311be1024e027ab8c?track_id=kolSearch_3158e6a1bc47489795180c8dfe191109&amp;source=Advertiser_Kol</t>
  </si>
  <si>
    <t>夏77🚗</t>
  </si>
  <si>
    <t>🚗女车主日记 | 自驾攻略+车载好物
女性车主内容蓝海| 车载好物推荐</t>
  </si>
  <si>
    <t>https://www.xiaohongshu.com/user/profile/58ca16696a6a69748a40c696</t>
  </si>
  <si>
    <t>https://pgy.xiaohongshu.com/solar/pre-trade/blogger-detail/58ca16696a6a69748a40c696?track_id=kolSearch_1689b999699e4ce5a4f961b85cdcb912&amp;source=Advertiser_Kol</t>
  </si>
  <si>
    <t>丁啊叮</t>
  </si>
  <si>
    <t>一个说车的川渝暴龙
女性车主内容蓝海| 好车推荐</t>
  </si>
  <si>
    <t>https://www.xiaohongshu.com/user/profile/63a6fc520000000027029c8d?xsec_token=YBMKUE5zHWtuVK9CJ4WxAUL4awILuSztcKGMn6ESd9LG0=&amp;xsec_source=app_share&amp;xhsshare=CopyLink&amp;appuid=5f6887c9000000000100b2fc&amp;apptime=1754877284&amp;share_id=af149f03946845b1b5f6d29b9273ef69</t>
  </si>
  <si>
    <t>https://pgy.xiaohongshu.com/solar/pre-trade/blogger-detail/63a6fc520000000027029c8d?track_id=</t>
  </si>
  <si>
    <t>一个亿呀</t>
  </si>
  <si>
    <t>1717money</t>
  </si>
  <si>
    <t>💰成都车圈财迷 | 汽车测评+美女日常 |</t>
  </si>
  <si>
    <t>https://www.xiaohongshu.com/user/profile/61e6675f0000000010009eae?xsec_token=YB2s8l_V2djyIJyBQa5RhPCuoJYQ7-LXmiZab8AlHuakw=&amp;xsec_source=app_share&amp;xhsshare=CopyLink&amp;appuid=5f6887c9000000000100b2fc&amp;apptime=1739338351&amp;share_id=53ed135c0c7b4467ae6c6c23e888e222</t>
  </si>
  <si>
    <t>https://pgy.xiaohongshu.com/solar/pre-trade/blogger-detail/61e6675f0000000010009eae?track_id=</t>
  </si>
  <si>
    <t>切尔蜜</t>
  </si>
  <si>
    <t>🚙女司机养成记 | 汽车知识+新手避坑 | 小白也能看懂的硬核车评🔧</t>
  </si>
  <si>
    <t>汽车/颜值/日常</t>
  </si>
  <si>
    <t>https://www.xiaohongshu.com/user/profile/65850350000000001b032296?xhsshare=CopyLink&amp;appuid=5f6887c9000000000100b2fc&amp;apptime=1716184285</t>
  </si>
  <si>
    <t>https://pgy.xiaohongshu.com/solar/pre-trade/blogger-detail/65850350000000001b032296?track_id=kolSearch_e5fdf4f94e694e1a9bde6a2478d7f6fc&amp;source=Advertiser_Kol</t>
  </si>
  <si>
    <t>六抠抠</t>
  </si>
  <si>
    <r>
      <rPr>
        <sz val="9"/>
        <color rgb="FF08090C"/>
        <rFont val="微软雅黑"/>
        <charset val="134"/>
      </rPr>
      <t>持家小能手 | 家居神器测评+母婴好物 | 花小钱过出品质生活的秘密</t>
    </r>
    <r>
      <rPr>
        <sz val="9"/>
        <color rgb="FF08090C"/>
        <rFont val="宋体"/>
        <charset val="134"/>
      </rPr>
      <t>㊙</t>
    </r>
    <r>
      <rPr>
        <sz val="9"/>
        <color rgb="FF08090C"/>
        <rFont val="微软雅黑"/>
        <charset val="134"/>
      </rPr>
      <t>️</t>
    </r>
  </si>
  <si>
    <t>家居/测评/种草/母婴</t>
  </si>
  <si>
    <t>合集视频6000</t>
  </si>
  <si>
    <t>https://www.xiaohongshu.com/user/profile/60ab06f4000000000101f416?xhsshare=CopyLink&amp;appuid=5f6887c9000000000100b2fc&amp;apptime=1704441598</t>
  </si>
  <si>
    <t>https://pgy.xiaohongshu.com/solar/pre-trade/blogger-detail/60ab06f4000000000101f416?track_id=kolSearch_ca875e20646f47188b653093cc06d6ec&amp;source=Advertiser_Kol</t>
  </si>
  <si>
    <t>神奇A崽</t>
  </si>
  <si>
    <t>成都生活记录家 | 治愈系vlog达人 | 场景化种草专家</t>
  </si>
  <si>
    <t>生活/vlog</t>
  </si>
  <si>
    <t>坑一3000
坑二2000</t>
  </si>
  <si>
    <t>https://www.xiaohongshu.com/user/profile/63246d3a00000000230275e1?xhsshare=CopyLink&amp;appuid=5f6887c9000000000100b2fc&amp;apptime=1697786233</t>
  </si>
  <si>
    <t>https://pgy.xiaohongshu.com/solar/pre-trade/blogger-detail/63246d3a00000000230275e1?track_id=kolSearch_db75c6afaca64d6c96f30897f7874ac9&amp;source=Advertiser_Kol</t>
  </si>
  <si>
    <t>【OST传媒】微信视频号报价</t>
  </si>
  <si>
    <t>账号类型</t>
  </si>
  <si>
    <t>微信视频账号</t>
  </si>
  <si>
    <t>视频号ID</t>
  </si>
  <si>
    <t>粉丝（W）</t>
  </si>
  <si>
    <t>视频号价格</t>
  </si>
  <si>
    <t>分发视频价格</t>
  </si>
  <si>
    <t>互选平台</t>
  </si>
  <si>
    <t>sphR3gl9H3agbmG</t>
  </si>
  <si>
    <t>已开通</t>
  </si>
  <si>
    <t>国舞宛庭</t>
  </si>
  <si>
    <t>sphRsMNnuSLmxSg</t>
  </si>
  <si>
    <t>刘焌棚-Rafael</t>
  </si>
  <si>
    <t>sphaFY5P2611uIW</t>
  </si>
  <si>
    <t>未开通</t>
  </si>
  <si>
    <t>靖雅欧巴呀</t>
  </si>
  <si>
    <t>sphhiYMMIbxt5nL</t>
  </si>
  <si>
    <t>亲子</t>
  </si>
  <si>
    <t>sphu5HQJ7T1wcwr</t>
  </si>
  <si>
    <t>李里来了</t>
  </si>
  <si>
    <t>sphVegXTyvrzrKJ</t>
  </si>
  <si>
    <t>sphUikO7EeJOIQj</t>
  </si>
  <si>
    <t>sphEBjEv3Egaz7e</t>
  </si>
  <si>
    <t>大黄h.</t>
  </si>
  <si>
    <t>sphYvTxzH9joqJv</t>
  </si>
  <si>
    <t>无糖奶茶不加糖</t>
  </si>
  <si>
    <t>sphczG7NYDP3ycb</t>
  </si>
  <si>
    <t>sphG8g9USNVbaBe</t>
  </si>
  <si>
    <t>sphY9NjTvIIJxfS</t>
  </si>
  <si>
    <t>sphQaxOteNPshI4</t>
  </si>
  <si>
    <t>晨晓义很OK</t>
  </si>
  <si>
    <t>sph6zyxP3bQOA7v</t>
  </si>
  <si>
    <t>丁啊叮c</t>
  </si>
  <si>
    <t>sph85EuY9q3U3Bw</t>
  </si>
  <si>
    <t>切尔幂</t>
  </si>
  <si>
    <t>sph0tI7jd6kQZCi</t>
  </si>
  <si>
    <t>极速马力</t>
  </si>
  <si>
    <t>sphPaiJF9NkdRpR</t>
  </si>
  <si>
    <t>段子</t>
  </si>
  <si>
    <t>娜扎分渣本人</t>
  </si>
  <si>
    <t>sphEQKg46c2KXih</t>
  </si>
  <si>
    <t>比格费西Bigfish</t>
  </si>
  <si>
    <t>sphzdj3iicSBAXx</t>
  </si>
  <si>
    <t>HeTianL</t>
  </si>
  <si>
    <t>sphfrTuz0WTVL3f</t>
  </si>
  <si>
    <t>秦文龙wl</t>
  </si>
  <si>
    <t>sphFVx4zeCpblPc</t>
  </si>
  <si>
    <t>连蜜呀520a</t>
  </si>
  <si>
    <t>sphx39g8I8Js6pE</t>
  </si>
  <si>
    <t>【OST传媒】快手账号报价</t>
  </si>
  <si>
    <t>快手账号名称</t>
  </si>
  <si>
    <t>账号ID</t>
  </si>
  <si>
    <t>标签</t>
  </si>
  <si>
    <t>粉丝量(W)</t>
  </si>
  <si>
    <t>快手1-20s</t>
  </si>
  <si>
    <t>快手21-60s</t>
  </si>
  <si>
    <t>快手60s+</t>
  </si>
  <si>
    <t>快接单</t>
  </si>
  <si>
    <t>主页链接</t>
  </si>
  <si>
    <t>变装、剧情</t>
  </si>
  <si>
    <t>https://live.kuaishou.com/profile/3xi4apqvqnf7g7y</t>
  </si>
  <si>
    <t>颜值、搞笑</t>
  </si>
  <si>
    <t>https://live.kuaishou.com/profile/Handsomeht</t>
  </si>
  <si>
    <t>游戏</t>
  </si>
  <si>
    <t>https://live.kuaishou.com/profile/3xqsxy7pk7b3rq9</t>
  </si>
  <si>
    <t>剧情、颜值</t>
  </si>
  <si>
    <t>https://live.kuaishou.com/profile/yaner957</t>
  </si>
  <si>
    <t>https://live.kuaishou.com/profile/Roududu1998z</t>
  </si>
  <si>
    <t>https://live.kuaishou.com/profile/Dahuangh</t>
  </si>
  <si>
    <t>剧情、段子</t>
  </si>
  <si>
    <t>https://v.kuaishou.com/nuLqSDG3</t>
  </si>
  <si>
    <t>玉总lesley</t>
  </si>
  <si>
    <t>剧情、职场</t>
  </si>
  <si>
    <t>https://live.kuaishou.com/profile/3xbn4pn987uua5q</t>
  </si>
  <si>
    <t>https://live.kuaishou.com/profile/Jinbo9805</t>
  </si>
  <si>
    <t>胖嘟嘟的嘟嘟哇</t>
  </si>
  <si>
    <t>剧情、母婴</t>
  </si>
  <si>
    <t>https://live.kuaishou.com/profile/xiaodudu20181208</t>
  </si>
  <si>
    <t>https://live.kuaishou.com/profile/3xt6e7ftwjievc4</t>
  </si>
  <si>
    <t>https://live.kuaishou.com/profile/wutangnaicha23</t>
  </si>
  <si>
    <t>22000（分发）</t>
  </si>
  <si>
    <t>https://live.kuaishou.com/profile/zhousanshi0818</t>
  </si>
  <si>
    <t>丁啊叮dd</t>
  </si>
  <si>
    <t>https://live.kuaishou.com/profile/3xjjzysswd2hqqm</t>
  </si>
  <si>
    <t>音乐</t>
  </si>
  <si>
    <t>https://live.kuaishou.com/profile/bigefeixi</t>
  </si>
  <si>
    <t>颜值、小哥哥</t>
  </si>
  <si>
    <t>150000
（直播1h30000）</t>
  </si>
  <si>
    <t>https://live.kuaishou.com/profile/ygxdwl666</t>
  </si>
  <si>
    <t>颜值，变装</t>
  </si>
  <si>
    <t>https://live.kuaishou.com/profile/Xiaxia977</t>
  </si>
  <si>
    <t>https://live.kuaishou.com/profile/yihang112244</t>
  </si>
  <si>
    <t>https://live.kuaishou.com/profile/xrr888006</t>
  </si>
  <si>
    <t>https://v.kuaishou.com/kpTXgm</t>
  </si>
  <si>
    <t>https://live.kuaishou.com/profile/xxy1129xy</t>
  </si>
  <si>
    <t>嘿 黄锐铨</t>
  </si>
  <si>
    <t>https://live.kuaishou.com/profile/A77777774_</t>
  </si>
  <si>
    <t>洛丽塔大哥lo</t>
  </si>
  <si>
    <t>https://v.kuaishou.com/iTF8WX</t>
  </si>
  <si>
    <t>教培</t>
  </si>
  <si>
    <t>教培、段子</t>
  </si>
  <si>
    <t>https://v.kuaishou.com/JH0izg3N</t>
  </si>
  <si>
    <t>二次元</t>
  </si>
  <si>
    <t>小年Nian（导演，演员</t>
  </si>
  <si>
    <t>https://live.kuaishou.com/profile/Thesmallyear</t>
  </si>
  <si>
    <t>情侣</t>
  </si>
  <si>
    <t>晨晓义（解忧剧场）</t>
  </si>
  <si>
    <t>情侣、段子</t>
  </si>
  <si>
    <t>https://live.kuaishou.com/profile/KK13881688</t>
  </si>
  <si>
    <t>侯博</t>
  </si>
  <si>
    <t>https://v.kuaishou.com/KIJDmKoP</t>
  </si>
  <si>
    <t>北京
成都</t>
  </si>
  <si>
    <t>https://v.kuaishou.com/JfESauIY</t>
  </si>
  <si>
    <t>【OST传媒】B站账号报价</t>
  </si>
  <si>
    <t>账号</t>
  </si>
  <si>
    <t>UID</t>
  </si>
  <si>
    <t>获赞数（W）</t>
  </si>
  <si>
    <t>定制视频</t>
  </si>
  <si>
    <t>植入视频</t>
  </si>
  <si>
    <t>直发动态</t>
  </si>
  <si>
    <t>转发动态</t>
  </si>
  <si>
    <t>https://space.bilibili.com/30139938?spm_id_from=333.337.0.0</t>
  </si>
  <si>
    <t>影视</t>
  </si>
  <si>
    <t>400000（分发）</t>
  </si>
  <si>
    <t>淘气雪蕊</t>
  </si>
  <si>
    <t>https://space.bilibili.com/686354330?spm_id_from=333.337.0.0</t>
  </si>
  <si>
    <t>彦儿_SARIEL</t>
  </si>
  <si>
    <t>https://space.bilibili.com/1752056466?spm_id_from=333.337.0.0</t>
  </si>
  <si>
    <t>3494370374322460</t>
  </si>
  <si>
    <t>https://space.bilibili.com/3494370374322460?spm_id_from=333.337.0.0</t>
  </si>
  <si>
    <t>5000(分发)</t>
  </si>
  <si>
    <t>https://space.bilibili.com/2069267165?spm_id_from=333.337.0.0</t>
  </si>
  <si>
    <t>10000（分发）</t>
  </si>
  <si>
    <t>https://space.bilibili.com/1171192768?spm_id_from=333.337.0.0</t>
  </si>
  <si>
    <t>12500（分发）</t>
  </si>
  <si>
    <t>10000(分发)</t>
  </si>
  <si>
    <t>豚豚丶大魔王</t>
  </si>
  <si>
    <t>https://space.bilibili.com/438538373?spm_id_from=333.337.0.0</t>
  </si>
  <si>
    <t>小谢潇羽x</t>
  </si>
  <si>
    <t>https://space.bilibili.com/1476802359?spm_id_from=333.337.0.0</t>
  </si>
  <si>
    <t>大黄Ha</t>
  </si>
  <si>
    <t>https://space.bilibili.com/1972786116?spm_id_from=333.337.0.0</t>
  </si>
  <si>
    <t>2000(分发)</t>
  </si>
  <si>
    <t>是无糖奶茶</t>
  </si>
  <si>
    <t>https://space.bilibili.com/1376579261?spm_id_from=333.337.0.0</t>
  </si>
  <si>
    <t>【OST传媒】懂车帝达人报价</t>
  </si>
  <si>
    <t>懂车帝账号</t>
  </si>
  <si>
    <t>懂车帝价格</t>
  </si>
  <si>
    <t>说车的李二狗</t>
  </si>
  <si>
    <t>https://is.snssdk.com/motor/ugc/profile.html?link_source=share&amp;the_user_id=73208712518</t>
  </si>
  <si>
    <t>https://is.snssdk.com/motor/ugc/profile.html?link_source=share&amp;the_user_id=997974094390888</t>
  </si>
  <si>
    <t>https://is.snssdk.com/motor/ugc/profile.html?link_source=share&amp;the_user_id=104402962924</t>
  </si>
  <si>
    <t>周三拾正常更新</t>
  </si>
  <si>
    <t>https://is.snssdk.com/motor/ugc/profile.html?link_source=share&amp;the_user_id=3413348012532631</t>
  </si>
  <si>
    <t>夏夏MillionSS</t>
  </si>
  <si>
    <t>https://is.snssdk.com/motor/ugc/profile.html?link_source=share&amp;the_user_id=997944708048468</t>
  </si>
  <si>
    <t>星图链接</t>
  </si>
  <si>
    <t>wh1999327327</t>
  </si>
  <si>
    <t>https://v.douyin.com/NYLLwJm/</t>
  </si>
  <si>
    <t>https://www.xingtu.cn/ad/creator/author-homepage/douyin-video/6870162821561204743?market_track_id=KL6TLOM9QJ0UCP1XH4IE&amp;search_session_id=7506430103665426443&amp;video_type=2&amp;_route_from=from_page%3DMarket%26search_session_id%3D7506430103665426443%26is_for_order%3D1%26market_track_id%3DKL6TLOM9QJ0UCP1XH4IE%26platform_source%3D1%26key%3D%25E4%25B8%2580%25E8%2588%25A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</si>
  <si>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泸州老窖、天友、大众速腾，极狐汽车、库迪咖啡、西门子冰箱、周大生、逆水寒、荒野行动、天友牛奶、全新速腾</t>
  </si>
  <si>
    <t>刘欣悦🎤</t>
  </si>
  <si>
    <t>liuxinyueaichang</t>
  </si>
  <si>
    <t>音乐、翻唱</t>
  </si>
  <si>
    <t>https://v.douyin.com/rfgepnY/</t>
  </si>
  <si>
    <t>https://www.xingtu.cn/ad/creator/author-homepage/douyin-video/7128380987993489438?market_track_id=3XWNK7LWA21OEENNFR80&amp;search_session_id=7550214870017998891&amp;possessStarId</t>
  </si>
  <si>
    <t>吉利缤越、饿了么</t>
  </si>
  <si>
    <t>韦康vico</t>
  </si>
  <si>
    <t>ywk0921</t>
  </si>
  <si>
    <t>特效 、颜值、 变装</t>
  </si>
  <si>
    <t>https://v.douyin.com/UYCTfS6/</t>
  </si>
  <si>
    <t>https://www.xingtu.cn/ad/creator/author-homepage/douyin-video/6639507729494835203?market_track_id=S08FD099W7OEDKAWYKAC&amp;search_session_id=7506416438765666323&amp;video_type=2&amp;_route_from=from_page%3DMarket%26search_session_id%3D7506416438765666323%26is_for_order%3D1%26market_track_id%3DS08FD099W7OEDKAWYKAC%26platform_source%3D1%26key%3D%25E9%259F%25A6%25E5%25BA%25B7vico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</si>
  <si>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科颜氏、雅诗兰黛、自然堂、HBN、广汽丰田、吉利、梦幻新诛仙、安慕希</t>
  </si>
  <si>
    <t>舞编k文</t>
  </si>
  <si>
    <t>K.13736999837</t>
  </si>
  <si>
    <t>https://v.douyin.com/yNkevye/</t>
  </si>
  <si>
    <t>https://www.xingtu.cn/ad/creator/author-homepage/douyin-video/6596679498022780936?market_track_id=OT328YAVVPOJZEPAV52J&amp;search_session_id=7550215036942712851&amp;possessStarId</t>
  </si>
  <si>
    <t>太太乐、安踏、度小满、京东健康</t>
  </si>
  <si>
    <t>珞梵哥哥</t>
  </si>
  <si>
    <t>cx981105</t>
  </si>
  <si>
    <t>https://v.douyin.com/e1dopKv/</t>
  </si>
  <si>
    <t>https://www.xingtu.cn/ad/creator/author-homepage/douyin-video/6801043323701166093?market_track_id=WRWTEVNZUU1314FZAKXZ&amp;search_session_id=7550215047575666724&amp;possessStarId</t>
  </si>
  <si>
    <t>三星Galaxy、九牧、名爵、adidas、青梅绿茶、百度</t>
  </si>
  <si>
    <t>鎏汐</t>
  </si>
  <si>
    <t>nnnnn0325</t>
  </si>
  <si>
    <t>https://v.douyin.com/2W7nbwM/</t>
  </si>
  <si>
    <t>https://www.xingtu.cn/ad/creator/author-homepage/douyin-video/7118636721230577700?market_track_id=3VV5ZBKXKBMKIPIX3IZH&amp;search_session_id=7550215159429333031&amp;possessStarId</t>
  </si>
  <si>
    <t>燕之屋</t>
  </si>
  <si>
    <t>https://v.douyin.com/i2nY4afF/</t>
  </si>
  <si>
    <t>https://www.xingtu.cn/ad/creator/author-homepage/douyin-video/7300476344071110693?market_track_id=715DEKOOY6EFZPKN3OS6&amp;search_session_id=7550216179446022183&amp;possessStarId</t>
  </si>
  <si>
    <t>长轴距小助理</t>
  </si>
  <si>
    <t>lindang666</t>
  </si>
  <si>
    <t>https://v.douyin.com/e1dnU3C/</t>
  </si>
  <si>
    <t>https://www.xingtu.cn/ad/creator/author-homepage/douyin-video/6810311904263667719?market_track_id=26ZQGJM6ARET41LHTQMT&amp;search_session_id=7550216389245009961&amp;possessStarId</t>
  </si>
  <si>
    <t>星途、吉利、飞利浦、新宝骏、五菱、大众宝来、郑州日常、丰田凌尚、北京现代、影腾</t>
  </si>
  <si>
    <t>我不是保琳球</t>
  </si>
  <si>
    <t>颜值、穿搭</t>
  </si>
  <si>
    <t>https://v.douyin.com/yFCq9y3/</t>
  </si>
  <si>
    <t>https://www.xingtu.cn/ad/creator/author-homepage/douyin-video/7055186462358110239?market_track_id=0S6MHXHBLH5VC2WLNDJ2&amp;search_session_id=7550217075030540327&amp;possessStarId</t>
  </si>
  <si>
    <t>得物、支付宝、菜鸟驿站</t>
  </si>
  <si>
    <t>雪儿🌞</t>
  </si>
  <si>
    <t>zss19960205</t>
  </si>
  <si>
    <t>https://v.douyin.com/88tpRCb/</t>
  </si>
  <si>
    <t>https://www.xingtu.cn/ad/creator/author-homepage/douyin-video/6871549993585475587?market_track_id=RH48477MKB1VR1UNYGCS&amp;search_session_id=7550217075030884391&amp;possessStarId</t>
  </si>
  <si>
    <t>58同城、得物、唯品会、梦幻西游、海尔、抖音春节</t>
  </si>
  <si>
    <t>yuzong228</t>
  </si>
  <si>
    <t>https://v.douyin.com/nthyDT/</t>
  </si>
  <si>
    <t>https://www.xingtu.cn/ad/creator/author-homepage/douyin-video/6760484915038388231?market_track_id=D2I814U0YF0H0S78V4NX&amp;search_session_id=7550217255607664679&amp;possessStarId</t>
  </si>
  <si>
    <t>橙心优选、bioagen肌光瓶、燕之屋、松下美容仪、谷心注氧仪、海尔空气炸锅、小吉法式冰箱</t>
  </si>
  <si>
    <t>失野晶</t>
  </si>
  <si>
    <t>Shuijing_</t>
  </si>
  <si>
    <t>https://v.douyin.com/SfXQxQL349E/ 7@4.com</t>
  </si>
  <si>
    <t>https://www.xingtu.cn/ad/creator/author-homepage/douyin-video/6675972478684102659?market_track_id=8VVIMQRXFNYSWMG59N6B&amp;search_session_id=7516811288732237887&amp;possessStarId</t>
  </si>
  <si>
    <t>祖玛珑、兰蔻、YSL、雅诗兰黛、华为、比亚迪、长安</t>
  </si>
  <si>
    <t>于洋 桑坡雪地靴工厂</t>
  </si>
  <si>
    <t>yuyang558899</t>
  </si>
  <si>
    <t>https://v.douyin.com/M3spsCWS4Tc/</t>
  </si>
  <si>
    <t>https://www.xingtu.cn/ad/creator/author-homepage/douyin-video/6615821710526513155?market_track_id=J9CDG8ZG8UK9OYQGJ5M5&amp;search_session_id=7550217578959552566&amp;possessStarId</t>
  </si>
  <si>
    <t>雪蕊宝宝</t>
  </si>
  <si>
    <t>Xr96620</t>
  </si>
  <si>
    <t>https://v.douyin.com/i8aCMmDk/</t>
  </si>
  <si>
    <t>https://www.xingtu.cn/ad/creator/author-homepage/douyin-video/6870161239037706253?market_track_id=KGDOIV1C637VKVSO8BCI&amp;search_session_id=7550218122440671274&amp;possessStarId</t>
  </si>
  <si>
    <t>明治巧克力、五菱、小米、荣耀</t>
  </si>
  <si>
    <t>小白不小</t>
  </si>
  <si>
    <t>xiaobaibuxiao214</t>
  </si>
  <si>
    <t>日常、搞笑</t>
  </si>
  <si>
    <t>https://v.douyin.com/vP3VmxRgiLI/</t>
  </si>
  <si>
    <t>https://www.xingtu.cn/ad/creator/author-homepage/douyin-video/6939042595356016652?market_track_id=RLBNH1FQESPB8C52YN6Q&amp;search_session_id=7550218385226334251&amp;possessStarId</t>
  </si>
  <si>
    <t>江小帆帆💥</t>
  </si>
  <si>
    <t>Jiangfan1102</t>
  </si>
  <si>
    <t>https://v.douyin.com/eaRJPHe/</t>
  </si>
  <si>
    <t>https://www.xingtu.cn/ad/creator/author-homepage/douyin-video/6640252091245789188?market_track_id=JNL5RRSOVC13VRKRVW2N&amp;search_session_id=7550218554697433107&amp;possessStarId</t>
  </si>
  <si>
    <t>长安汽车、零跑、猎聘、东风风神、</t>
  </si>
  <si>
    <t>一个美少鹿</t>
  </si>
  <si>
    <t>luyy1118</t>
  </si>
  <si>
    <t>https://v.douyin.com/BbNG319/</t>
  </si>
  <si>
    <t>https://www.xingtu.cn/ad/creator/author-homepage/douyin-video/6894600608431472640?market_track_id=TVMBBD6DFZ3H97QQ0N06&amp;search_session_id=7506430716956180521&amp;video_type=2&amp;_route_from=from_page%3DMarket%26search_session_id%3D7506430716956180521%26is_for_order%3D1%26market_track_id%3DTVMBBD6DFZ3H97QQ0N06%26platform_source%3D1%26key%3D%25E4%25B8%2580%25E4%25B8%25AA%25E7%25BE%258E%25E5%25B0%2591%25E9%25B9%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</si>
  <si>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娇兰、ysl、tomford、Chanel、dior 、Bobbi brown、祖玛珑、植村秀、mac、太平鸟雅迪冠能摩登、诗词摇扇变装挑战、LAMER、施华蔻、淘宝</t>
  </si>
  <si>
    <t>大理</t>
  </si>
  <si>
    <t>🍀秦文龙</t>
  </si>
  <si>
    <t>ygxdwl666</t>
  </si>
  <si>
    <t>段子、日常</t>
  </si>
  <si>
    <t>https://v.douyin.com/JSacLxr/</t>
  </si>
  <si>
    <t>https://www.xingtu.cn/ad/creator/author-homepage/douyin-video/6629723424748994564?market_track_id=YXGB38SFJ1L77C44WCD0&amp;search_session_id=7550218778458472511&amp;possessStarId</t>
  </si>
  <si>
    <t>德芙、安慕希、OPPO、谷粒多、深蓝、得物，三元，微拍堂、云南白药、海澜之家等、货拉拉、Xbox、999感冒灵、美团</t>
  </si>
  <si>
    <t>川剧·吴菁菁</t>
  </si>
  <si>
    <t>Wujingjingyouxiu</t>
  </si>
  <si>
    <t>日常、戏曲</t>
  </si>
  <si>
    <t>https://v.douyin.com/iY85wBRt/</t>
  </si>
  <si>
    <t>https://www.xingtu.cn/ad/creator/author-homepage/douyin-video/7237162630903758881?market_track_id=K0JCD31RB8NPRC5GRY4H&amp;search_session_id=7550218956808880170&amp;possessStarId</t>
  </si>
  <si>
    <t>维氏</t>
  </si>
  <si>
    <t>陈泽宇</t>
  </si>
  <si>
    <t>https://v.douyin.com/A4Wbyjf/</t>
  </si>
  <si>
    <t>https://www.xingtu.cn/ad/creator/author-homepage/douyin-video/6596679478083059716?market_track_id=YRGBT4HZY5V5CK4RMLOT&amp;search_session_id=7550219100434202643&amp;possessStarId</t>
  </si>
  <si>
    <t>光遇</t>
  </si>
  <si>
    <t>黄毅豪LeoWong</t>
  </si>
  <si>
    <t>https://v.douyin.com/DDtQneX/</t>
  </si>
  <si>
    <t>https://www.xingtu.cn/ad/creator/author-homepage/douyin-video/6629661007348236302?market_track_id=FFE8SV4SP2U10W5XYRKU&amp;search_session_id=7550219239991345195&amp;possessStarId</t>
  </si>
  <si>
    <t>欢乐谷、小米、Unny、飞利浦、蛋仔派对、闲鱼、肌肤未来</t>
  </si>
  <si>
    <t>是蕾蕾呐</t>
  </si>
  <si>
    <t>shileileina</t>
  </si>
  <si>
    <t>https://v.douyin.com/e18x2s1/</t>
  </si>
  <si>
    <t>https://www.xingtu.cn/ad/creator/author-homepage/douyin-video/6677157331165249539?market_track_id=TC09IWAFYQRVSS5KRSSL&amp;search_session_id=7550219394329231403&amp;possessStarId</t>
  </si>
  <si>
    <t>椰树椰汁、江小白、格林堡、林肯、吉利帝豪、广汽丰田、零跑、万国觉醒、梦龙</t>
  </si>
  <si>
    <t>温在源Aikey</t>
  </si>
  <si>
    <t>Wen0115</t>
  </si>
  <si>
    <t>https://v.douyin.com/hqXeQ5d/</t>
  </si>
  <si>
    <t>https://www.xingtu.cn/ad/creator/author-homepage/douyin-video/6742066222692565006?market_track_id=FZADQ8CXP9WR64C04VUF&amp;search_session_id=7550219814963724307&amp;possessStarId</t>
  </si>
  <si>
    <t>觅光AMIRO、海尔智家、卡西欧、拼多多、成都文殊坊、Mistine、德克士、蛋仔派对、</t>
  </si>
  <si>
    <r>
      <rPr>
        <sz val="10"/>
        <color rgb="FF08090C"/>
        <rFont val="微软雅黑"/>
        <charset val="134"/>
      </rPr>
      <t>小天才🪄</t>
    </r>
    <r>
      <rPr>
        <sz val="10"/>
        <color rgb="FF08090C"/>
        <rFont val="宋体"/>
        <charset val="134"/>
      </rPr>
      <t>✨</t>
    </r>
  </si>
  <si>
    <t>BabyGenius233</t>
  </si>
  <si>
    <t>https://v.douyin.com/C2FPaiMOprM/</t>
  </si>
  <si>
    <t>https://www.xingtu.cn/ad/creator/author-homepage/douyin-video/7001886618818707491?market_track_id=PA8P24MD9ZNXK2NVY5FY&amp;search_session_id=7550219864423481387&amp;possessStarId</t>
  </si>
  <si>
    <t>捣蛋丸子🤪</t>
  </si>
  <si>
    <t>https://v.douyin.com/eNCkcEU/</t>
  </si>
  <si>
    <t>https://www.xingtu.cn/ad/creator/author-homepage/douyin-video/6870164604043919367?market_track_id=KCUK9D94UPOOJ5HYMO6W&amp;search_session_id=7550219973672501291&amp;possessStarId</t>
  </si>
  <si>
    <t>成都汽车节</t>
  </si>
  <si>
    <t>羊羊</t>
  </si>
  <si>
    <t>瑜伽、颜值</t>
  </si>
  <si>
    <t>https://v.douyin.com/i8cKAwaa/ 8@0.com</t>
  </si>
  <si>
    <t>https://www.xingtu.cn/ad/creator/author-homepage/douyin-video/7281638336735739943?market_track_id=8GK099J7N7JPB8RYHF8U&amp;search_session_id=7550220054031089703&amp;possessStarId</t>
  </si>
  <si>
    <t>陈嘉gìngìn</t>
  </si>
  <si>
    <t>Ch95Beat</t>
  </si>
  <si>
    <t>音乐、Bbox</t>
  </si>
  <si>
    <t>https://v.douyin.com/FswYnjx/</t>
  </si>
  <si>
    <t>https://www.xingtu.cn/ad/creator/author-homepage/douyin-video/7062567598881243151?market_track_id=JH9AXT9UZ5CVRQUTBKEH&amp;search_session_id=7550220484609982506&amp;possessStarId</t>
  </si>
  <si>
    <t>遂宁</t>
  </si>
  <si>
    <t>李在溪·7BOY</t>
  </si>
  <si>
    <t>Lzx_971111</t>
  </si>
  <si>
    <t>https://v.douyin.com/idjuYaHy/</t>
  </si>
  <si>
    <t>https://www.xingtu.cn/ad/creator/author-homepage/douyin-video/7283823086028193803?market_track_id=2LT707YXXASNCHJM9C3E&amp;search_session_id=7550220625697620010&amp;possessStarId</t>
  </si>
  <si>
    <t>葡</t>
  </si>
  <si>
    <t>音乐、琵琶</t>
  </si>
  <si>
    <t>https://v.douyin.com/iJW1TXLv/</t>
  </si>
  <si>
    <t>https://www.xingtu.cn/ad/creator/author-homepage/douyin-video/7270472015461482554?market_track_id=YRQZCKGS6C6XRPVJ5T7Y&amp;search_session_id=7550220784732897316&amp;possessStarId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</si>
</sst>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5" formatCode="&quot;￥&quot;#,##0;&quot;￥&quot;\-#,##0"/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&quot;￥&quot;#,##0_);[Red]\(&quot;￥&quot;#,##0\)"/>
    <numFmt numFmtId="178" formatCode="#,##0;[Red]#,##0"/>
    <numFmt numFmtId="179" formatCode="0&quot;.&quot;0,&quot;万&quot;"/>
    <numFmt numFmtId="180" formatCode="0;[Red]0"/>
  </numFmts>
  <fonts count="6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0"/>
      <name val="微软雅黑"/>
      <charset val="134"/>
    </font>
    <font>
      <sz val="9"/>
      <color rgb="FF08090C"/>
      <name val="微软雅黑"/>
      <charset val="134"/>
    </font>
    <font>
      <sz val="10"/>
      <color rgb="FF08090C"/>
      <name val="微软雅黑"/>
      <charset val="134"/>
    </font>
    <font>
      <sz val="11"/>
      <color rgb="FF08090C"/>
      <name val="宋体"/>
      <charset val="134"/>
      <scheme val="minor"/>
    </font>
    <font>
      <b/>
      <sz val="10"/>
      <name val="微软雅黑"/>
      <charset val="134"/>
    </font>
    <font>
      <sz val="9"/>
      <color rgb="FF08090C"/>
      <name val="宋体"/>
      <charset val="134"/>
      <scheme val="minor"/>
    </font>
    <font>
      <sz val="9"/>
      <color rgb="FF08090C"/>
      <name val="宋体"/>
      <charset val="0"/>
      <scheme val="minor"/>
    </font>
    <font>
      <sz val="9"/>
      <color theme="1"/>
      <name val="微软雅黑"/>
      <charset val="134"/>
    </font>
    <font>
      <b/>
      <sz val="20"/>
      <name val="微软雅黑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rgb="FF000000"/>
      <name val="微软雅黑"/>
      <charset val="134"/>
    </font>
    <font>
      <b/>
      <sz val="9"/>
      <color rgb="FF000000"/>
      <name val="微软雅黑"/>
      <charset val="134"/>
    </font>
    <font>
      <sz val="18"/>
      <color theme="0"/>
      <name val="微软雅黑"/>
      <charset val="134"/>
    </font>
    <font>
      <sz val="8"/>
      <color rgb="FF08090C"/>
      <name val="微软雅黑 Light"/>
      <charset val="134"/>
    </font>
    <font>
      <sz val="18"/>
      <color rgb="FF08090C"/>
      <name val="微软雅黑"/>
      <charset val="134"/>
    </font>
    <font>
      <b/>
      <sz val="10"/>
      <color rgb="FFFF0000"/>
      <name val="微软雅黑"/>
      <charset val="134"/>
    </font>
    <font>
      <sz val="9"/>
      <color rgb="FF08090C"/>
      <name val="宋体"/>
      <charset val="134"/>
    </font>
    <font>
      <b/>
      <sz val="22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b/>
      <sz val="18"/>
      <color theme="0"/>
      <name val="宋体"/>
      <charset val="134"/>
    </font>
    <font>
      <b/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8"/>
      <color theme="1"/>
      <name val="宋体"/>
      <charset val="134"/>
      <scheme val="minor"/>
    </font>
    <font>
      <sz val="18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0"/>
      <name val="微软雅黑"/>
      <charset val="134"/>
    </font>
    <font>
      <b/>
      <sz val="10"/>
      <color rgb="FF08090C"/>
      <name val="微软雅黑"/>
      <charset val="134"/>
    </font>
    <font>
      <b/>
      <sz val="8"/>
      <color rgb="FF08090C"/>
      <name val="微软雅黑 Light"/>
      <charset val="134"/>
    </font>
    <font>
      <sz val="11"/>
      <color theme="1"/>
      <name val="微软雅黑"/>
      <charset val="134"/>
    </font>
    <font>
      <b/>
      <sz val="16"/>
      <color theme="0"/>
      <name val="微软雅黑"/>
      <charset val="134"/>
    </font>
    <font>
      <sz val="11"/>
      <color indexed="8"/>
      <name val="微软雅黑"/>
      <charset val="134"/>
    </font>
    <font>
      <b/>
      <sz val="11"/>
      <color theme="0"/>
      <name val="微软雅黑"/>
      <charset val="134"/>
    </font>
    <font>
      <b/>
      <sz val="12"/>
      <color theme="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8090C"/>
      <name val="宋体"/>
      <charset val="134"/>
    </font>
    <font>
      <sz val="9"/>
      <color rgb="FF08090C"/>
      <name val="宋体-简"/>
      <charset val="134"/>
    </font>
    <font>
      <sz val="9"/>
      <color rgb="FF08090C"/>
      <name val="Times New Roman"/>
      <charset val="134"/>
    </font>
  </fonts>
  <fills count="5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B3F67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1" tint="0.3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-0.2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C4E6E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F618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0" borderId="16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1" borderId="19" applyNumberFormat="0" applyAlignment="0" applyProtection="0">
      <alignment vertical="center"/>
    </xf>
    <xf numFmtId="0" fontId="47" fillId="7" borderId="20" applyNumberFormat="0" applyAlignment="0" applyProtection="0">
      <alignment vertical="center"/>
    </xf>
    <xf numFmtId="0" fontId="48" fillId="7" borderId="19" applyNumberFormat="0" applyAlignment="0" applyProtection="0">
      <alignment vertical="center"/>
    </xf>
    <xf numFmtId="0" fontId="49" fillId="32" borderId="21" applyNumberFormat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5" fillId="56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9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NumberFormat="1" applyFont="1" applyFill="1" applyBorder="1" applyAlignment="1">
      <alignment horizontal="center" vertical="center"/>
    </xf>
    <xf numFmtId="5" fontId="5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>
      <alignment vertical="center"/>
    </xf>
    <xf numFmtId="6" fontId="5" fillId="4" borderId="0" xfId="0" applyNumberFormat="1" applyFont="1" applyFill="1" applyBorder="1" applyAlignment="1">
      <alignment horizontal="center" vertical="center" wrapText="1"/>
    </xf>
    <xf numFmtId="6" fontId="5" fillId="4" borderId="0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0" fontId="5" fillId="4" borderId="0" xfId="49" applyFont="1" applyFill="1" applyBorder="1" applyAlignment="1">
      <alignment horizontal="center" vertical="center"/>
    </xf>
    <xf numFmtId="5" fontId="5" fillId="4" borderId="0" xfId="0" applyNumberFormat="1" applyFont="1" applyFill="1" applyBorder="1" applyAlignment="1">
      <alignment horizontal="center" vertical="center" wrapText="1"/>
    </xf>
    <xf numFmtId="0" fontId="0" fillId="4" borderId="0" xfId="0" applyFill="1" applyBorder="1">
      <alignment vertical="center"/>
    </xf>
    <xf numFmtId="176" fontId="5" fillId="4" borderId="0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6" fontId="5" fillId="4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4" borderId="0" xfId="0" applyNumberFormat="1" applyFill="1" applyAlignment="1">
      <alignment vertical="center"/>
    </xf>
    <xf numFmtId="0" fontId="0" fillId="4" borderId="0" xfId="0" applyFill="1" applyAlignment="1">
      <alignment horizontal="center" vertical="center"/>
    </xf>
    <xf numFmtId="0" fontId="8" fillId="5" borderId="0" xfId="0" applyNumberFormat="1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>
      <alignment horizontal="center" vertical="center"/>
    </xf>
    <xf numFmtId="0" fontId="5" fillId="6" borderId="0" xfId="0" applyNumberFormat="1" applyFont="1" applyFill="1" applyBorder="1" applyAlignment="1" applyProtection="1">
      <alignment horizontal="center" vertical="center" wrapText="1"/>
    </xf>
    <xf numFmtId="0" fontId="9" fillId="6" borderId="0" xfId="0" applyFont="1" applyFill="1" applyBorder="1">
      <alignment vertical="center"/>
    </xf>
    <xf numFmtId="0" fontId="5" fillId="6" borderId="0" xfId="0" applyNumberFormat="1" applyFont="1" applyFill="1" applyBorder="1" applyAlignment="1">
      <alignment horizontal="center" vertical="center"/>
    </xf>
    <xf numFmtId="177" fontId="5" fillId="6" borderId="0" xfId="0" applyNumberFormat="1" applyFont="1" applyFill="1" applyBorder="1" applyAlignment="1">
      <alignment horizontal="center" vertical="center"/>
    </xf>
    <xf numFmtId="0" fontId="10" fillId="6" borderId="0" xfId="6" applyNumberFormat="1" applyFont="1" applyFill="1" applyBorder="1" applyAlignment="1" applyProtection="1">
      <alignment horizontal="center" vertical="center" wrapText="1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NumberFormat="1" applyFont="1" applyFill="1" applyBorder="1" applyAlignment="1" applyProtection="1">
      <alignment horizontal="center" vertical="center" wrapText="1"/>
    </xf>
    <xf numFmtId="0" fontId="9" fillId="7" borderId="0" xfId="0" applyFont="1" applyFill="1" applyBorder="1">
      <alignment vertical="center"/>
    </xf>
    <xf numFmtId="0" fontId="5" fillId="7" borderId="0" xfId="0" applyNumberFormat="1" applyFont="1" applyFill="1" applyBorder="1" applyAlignment="1">
      <alignment horizontal="center" vertical="center"/>
    </xf>
    <xf numFmtId="177" fontId="5" fillId="7" borderId="0" xfId="0" applyNumberFormat="1" applyFont="1" applyFill="1" applyBorder="1" applyAlignment="1">
      <alignment horizontal="center" vertical="center"/>
    </xf>
    <xf numFmtId="0" fontId="10" fillId="7" borderId="0" xfId="6" applyNumberFormat="1" applyFont="1" applyFill="1" applyBorder="1" applyAlignment="1" applyProtection="1">
      <alignment horizontal="center" vertical="center" wrapText="1"/>
    </xf>
    <xf numFmtId="178" fontId="5" fillId="7" borderId="0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0" fontId="9" fillId="6" borderId="1" xfId="0" applyFont="1" applyFill="1" applyBorder="1">
      <alignment vertical="center"/>
    </xf>
    <xf numFmtId="178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/>
    </xf>
    <xf numFmtId="177" fontId="5" fillId="6" borderId="1" xfId="0" applyNumberFormat="1" applyFont="1" applyFill="1" applyBorder="1" applyAlignment="1">
      <alignment horizontal="center" vertical="center"/>
    </xf>
    <xf numFmtId="0" fontId="10" fillId="6" borderId="1" xfId="6" applyNumberFormat="1" applyFont="1" applyFill="1" applyBorder="1" applyAlignment="1" applyProtection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 wrapText="1"/>
    </xf>
    <xf numFmtId="0" fontId="7" fillId="6" borderId="0" xfId="0" applyFont="1" applyFill="1" applyBorder="1">
      <alignment vertical="center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179" fontId="6" fillId="6" borderId="0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7" fillId="7" borderId="0" xfId="0" applyFont="1" applyFill="1" applyBorder="1">
      <alignment vertical="center"/>
    </xf>
    <xf numFmtId="0" fontId="6" fillId="7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/>
    </xf>
    <xf numFmtId="179" fontId="6" fillId="7" borderId="0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7" fillId="7" borderId="1" xfId="0" applyFont="1" applyFill="1" applyBorder="1">
      <alignment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179" fontId="6" fillId="7" borderId="1" xfId="0" applyNumberFormat="1" applyFont="1" applyFill="1" applyBorder="1" applyAlignment="1">
      <alignment horizontal="center" vertical="center" wrapText="1"/>
    </xf>
    <xf numFmtId="176" fontId="0" fillId="4" borderId="0" xfId="0" applyNumberFormat="1" applyFill="1" applyAlignment="1">
      <alignment vertical="center"/>
    </xf>
    <xf numFmtId="0" fontId="13" fillId="4" borderId="0" xfId="0" applyFont="1" applyFill="1" applyAlignment="1">
      <alignment vertical="center"/>
    </xf>
    <xf numFmtId="0" fontId="8" fillId="9" borderId="0" xfId="0" applyFont="1" applyFill="1" applyBorder="1" applyAlignment="1">
      <alignment horizontal="center" vertical="center"/>
    </xf>
    <xf numFmtId="176" fontId="8" fillId="9" borderId="0" xfId="0" applyNumberFormat="1" applyFont="1" applyFill="1" applyBorder="1" applyAlignment="1">
      <alignment horizontal="center" vertical="center"/>
    </xf>
    <xf numFmtId="0" fontId="8" fillId="9" borderId="0" xfId="0" applyNumberFormat="1" applyFont="1" applyFill="1" applyBorder="1" applyAlignment="1">
      <alignment horizontal="center" vertical="center"/>
    </xf>
    <xf numFmtId="0" fontId="8" fillId="9" borderId="0" xfId="0" applyFont="1" applyFill="1" applyBorder="1" applyAlignment="1">
      <alignment horizontal="center" vertical="center" wrapText="1"/>
    </xf>
    <xf numFmtId="179" fontId="5" fillId="4" borderId="0" xfId="0" applyNumberFormat="1" applyFont="1" applyFill="1" applyBorder="1" applyAlignment="1">
      <alignment horizontal="center" vertical="center"/>
    </xf>
    <xf numFmtId="0" fontId="5" fillId="4" borderId="0" xfId="6" applyFont="1" applyFill="1" applyBorder="1" applyAlignment="1">
      <alignment horizontal="center" vertical="center" wrapText="1"/>
    </xf>
    <xf numFmtId="179" fontId="5" fillId="4" borderId="1" xfId="0" applyNumberFormat="1" applyFont="1" applyFill="1" applyBorder="1" applyAlignment="1">
      <alignment horizontal="center" vertical="center"/>
    </xf>
    <xf numFmtId="6" fontId="5" fillId="4" borderId="1" xfId="0" applyNumberFormat="1" applyFont="1" applyFill="1" applyBorder="1" applyAlignment="1">
      <alignment horizontal="center" vertical="center"/>
    </xf>
    <xf numFmtId="0" fontId="5" fillId="4" borderId="1" xfId="6" applyFont="1" applyFill="1" applyBorder="1" applyAlignment="1">
      <alignment horizontal="center" vertical="center" wrapText="1"/>
    </xf>
    <xf numFmtId="0" fontId="8" fillId="10" borderId="0" xfId="0" applyNumberFormat="1" applyFont="1" applyFill="1" applyBorder="1" applyAlignment="1" applyProtection="1">
      <alignment horizontal="center" vertical="center" wrapText="1"/>
    </xf>
    <xf numFmtId="176" fontId="8" fillId="10" borderId="0" xfId="0" applyNumberFormat="1" applyFont="1" applyFill="1" applyBorder="1" applyAlignment="1" applyProtection="1">
      <alignment horizontal="center" vertical="center" wrapText="1"/>
    </xf>
    <xf numFmtId="179" fontId="5" fillId="7" borderId="0" xfId="0" applyNumberFormat="1" applyFont="1" applyFill="1" applyBorder="1" applyAlignment="1">
      <alignment horizontal="center" vertical="center"/>
    </xf>
    <xf numFmtId="178" fontId="5" fillId="6" borderId="0" xfId="0" applyNumberFormat="1" applyFont="1" applyFill="1" applyBorder="1" applyAlignment="1">
      <alignment horizontal="center" vertical="center" wrapText="1"/>
    </xf>
    <xf numFmtId="179" fontId="5" fillId="6" borderId="0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9" fontId="5" fillId="6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 wrapText="1"/>
    </xf>
    <xf numFmtId="176" fontId="11" fillId="0" borderId="0" xfId="0" applyNumberFormat="1" applyFont="1" applyFill="1" applyAlignment="1">
      <alignment horizontal="center" vertical="center"/>
    </xf>
    <xf numFmtId="0" fontId="15" fillId="6" borderId="0" xfId="0" applyFont="1" applyFill="1" applyBorder="1" applyAlignment="1" applyProtection="1">
      <alignment horizontal="center" vertical="center"/>
      <protection locked="0"/>
    </xf>
    <xf numFmtId="176" fontId="15" fillId="6" borderId="0" xfId="0" applyNumberFormat="1" applyFont="1" applyFill="1" applyBorder="1" applyAlignment="1" applyProtection="1">
      <alignment horizontal="center" vertical="center"/>
      <protection locked="0"/>
    </xf>
    <xf numFmtId="0" fontId="16" fillId="6" borderId="0" xfId="0" applyFont="1" applyFill="1" applyBorder="1" applyAlignment="1" applyProtection="1">
      <alignment horizontal="center" vertical="center"/>
      <protection locked="0"/>
    </xf>
    <xf numFmtId="0" fontId="4" fillId="11" borderId="0" xfId="0" applyFont="1" applyFill="1" applyBorder="1" applyAlignment="1">
      <alignment horizontal="center" vertical="center"/>
    </xf>
    <xf numFmtId="0" fontId="4" fillId="11" borderId="0" xfId="0" applyFont="1" applyFill="1" applyBorder="1" applyAlignment="1">
      <alignment horizontal="center" vertical="center" wrapText="1"/>
    </xf>
    <xf numFmtId="0" fontId="4" fillId="11" borderId="0" xfId="0" applyNumberFormat="1" applyFont="1" applyFill="1" applyBorder="1" applyAlignment="1">
      <alignment horizontal="center" vertical="center"/>
    </xf>
    <xf numFmtId="0" fontId="17" fillId="12" borderId="0" xfId="0" applyFont="1" applyFill="1" applyBorder="1" applyAlignment="1">
      <alignment vertical="center"/>
    </xf>
    <xf numFmtId="176" fontId="17" fillId="12" borderId="0" xfId="0" applyNumberFormat="1" applyFont="1" applyFill="1" applyBorder="1" applyAlignment="1">
      <alignment vertical="center"/>
    </xf>
    <xf numFmtId="0" fontId="18" fillId="7" borderId="0" xfId="0" applyFont="1" applyFill="1" applyBorder="1" applyAlignment="1">
      <alignment horizontal="center" vertical="top" wrapText="1"/>
    </xf>
    <xf numFmtId="0" fontId="5" fillId="7" borderId="0" xfId="0" applyNumberFormat="1" applyFont="1" applyFill="1" applyBorder="1" applyAlignment="1">
      <alignment horizontal="center" vertical="center" wrapText="1"/>
    </xf>
    <xf numFmtId="176" fontId="5" fillId="7" borderId="0" xfId="0" applyNumberFormat="1" applyFont="1" applyFill="1" applyBorder="1" applyAlignment="1">
      <alignment horizontal="center" vertical="center"/>
    </xf>
    <xf numFmtId="180" fontId="5" fillId="7" borderId="0" xfId="0" applyNumberFormat="1" applyFont="1" applyFill="1" applyBorder="1" applyAlignment="1">
      <alignment horizontal="center" vertical="center"/>
    </xf>
    <xf numFmtId="5" fontId="6" fillId="7" borderId="0" xfId="0" applyNumberFormat="1" applyFont="1" applyFill="1" applyBorder="1" applyAlignment="1">
      <alignment horizontal="center" vertical="center"/>
    </xf>
    <xf numFmtId="5" fontId="6" fillId="7" borderId="0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0" xfId="6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top" wrapText="1"/>
    </xf>
    <xf numFmtId="0" fontId="5" fillId="6" borderId="0" xfId="0" applyNumberFormat="1" applyFont="1" applyFill="1" applyBorder="1" applyAlignment="1">
      <alignment horizontal="center" vertical="center" wrapText="1"/>
    </xf>
    <xf numFmtId="176" fontId="5" fillId="6" borderId="0" xfId="0" applyNumberFormat="1" applyFont="1" applyFill="1" applyBorder="1" applyAlignment="1">
      <alignment horizontal="center" vertical="center"/>
    </xf>
    <xf numFmtId="180" fontId="5" fillId="6" borderId="0" xfId="0" applyNumberFormat="1" applyFont="1" applyFill="1" applyBorder="1" applyAlignment="1">
      <alignment horizontal="center" vertical="center"/>
    </xf>
    <xf numFmtId="5" fontId="6" fillId="6" borderId="0" xfId="0" applyNumberFormat="1" applyFont="1" applyFill="1" applyBorder="1" applyAlignment="1">
      <alignment horizontal="center" vertical="center"/>
    </xf>
    <xf numFmtId="0" fontId="5" fillId="6" borderId="0" xfId="6" applyFont="1" applyFill="1" applyBorder="1" applyAlignment="1">
      <alignment horizontal="center" vertical="center" wrapText="1"/>
    </xf>
    <xf numFmtId="0" fontId="19" fillId="13" borderId="0" xfId="0" applyFont="1" applyFill="1" applyBorder="1" applyAlignment="1">
      <alignment vertical="center"/>
    </xf>
    <xf numFmtId="0" fontId="17" fillId="13" borderId="0" xfId="0" applyFont="1" applyFill="1" applyBorder="1" applyAlignment="1">
      <alignment vertical="center"/>
    </xf>
    <xf numFmtId="176" fontId="19" fillId="13" borderId="0" xfId="0" applyNumberFormat="1" applyFont="1" applyFill="1" applyBorder="1" applyAlignment="1">
      <alignment vertical="center"/>
    </xf>
    <xf numFmtId="0" fontId="20" fillId="4" borderId="0" xfId="0" applyFont="1" applyFill="1" applyBorder="1" applyAlignment="1">
      <alignment horizontal="center" vertical="center" wrapText="1"/>
    </xf>
    <xf numFmtId="5" fontId="6" fillId="6" borderId="0" xfId="0" applyNumberFormat="1" applyFont="1" applyFill="1" applyBorder="1" applyAlignment="1">
      <alignment horizontal="center" vertical="center" wrapText="1"/>
    </xf>
    <xf numFmtId="180" fontId="5" fillId="6" borderId="0" xfId="0" applyNumberFormat="1" applyFont="1" applyFill="1" applyBorder="1" applyAlignment="1">
      <alignment horizontal="center" vertical="center" wrapText="1"/>
    </xf>
    <xf numFmtId="0" fontId="19" fillId="14" borderId="0" xfId="0" applyFont="1" applyFill="1" applyBorder="1" applyAlignment="1">
      <alignment vertical="center"/>
    </xf>
    <xf numFmtId="0" fontId="17" fillId="14" borderId="0" xfId="0" applyFont="1" applyFill="1" applyBorder="1" applyAlignment="1">
      <alignment vertical="center"/>
    </xf>
    <xf numFmtId="176" fontId="19" fillId="14" borderId="0" xfId="0" applyNumberFormat="1" applyFont="1" applyFill="1" applyBorder="1" applyAlignment="1">
      <alignment vertical="center"/>
    </xf>
    <xf numFmtId="0" fontId="19" fillId="15" borderId="0" xfId="0" applyFont="1" applyFill="1" applyBorder="1" applyAlignment="1">
      <alignment vertical="center"/>
    </xf>
    <xf numFmtId="0" fontId="17" fillId="15" borderId="0" xfId="0" applyFont="1" applyFill="1" applyBorder="1" applyAlignment="1">
      <alignment vertical="center"/>
    </xf>
    <xf numFmtId="176" fontId="19" fillId="15" borderId="0" xfId="0" applyNumberFormat="1" applyFont="1" applyFill="1" applyBorder="1" applyAlignment="1">
      <alignment vertical="center"/>
    </xf>
    <xf numFmtId="0" fontId="17" fillId="16" borderId="0" xfId="0" applyFont="1" applyFill="1" applyBorder="1" applyAlignment="1">
      <alignment vertical="center"/>
    </xf>
    <xf numFmtId="176" fontId="17" fillId="16" borderId="0" xfId="0" applyNumberFormat="1" applyFont="1" applyFill="1" applyBorder="1" applyAlignment="1">
      <alignment vertical="center"/>
    </xf>
    <xf numFmtId="0" fontId="20" fillId="7" borderId="0" xfId="0" applyNumberFormat="1" applyFont="1" applyFill="1" applyBorder="1" applyAlignment="1">
      <alignment horizontal="center" vertical="center" wrapText="1"/>
    </xf>
    <xf numFmtId="176" fontId="5" fillId="4" borderId="0" xfId="0" applyNumberFormat="1" applyFont="1" applyFill="1" applyBorder="1" applyAlignment="1">
      <alignment horizontal="center" vertical="center"/>
    </xf>
    <xf numFmtId="180" fontId="5" fillId="4" borderId="0" xfId="0" applyNumberFormat="1" applyFont="1" applyFill="1" applyBorder="1" applyAlignment="1">
      <alignment horizontal="center" vertical="center"/>
    </xf>
    <xf numFmtId="5" fontId="6" fillId="4" borderId="0" xfId="0" applyNumberFormat="1" applyFont="1" applyFill="1" applyBorder="1" applyAlignment="1">
      <alignment horizontal="center" vertical="center"/>
    </xf>
    <xf numFmtId="0" fontId="19" fillId="17" borderId="0" xfId="0" applyFont="1" applyFill="1" applyBorder="1" applyAlignment="1">
      <alignment vertical="center"/>
    </xf>
    <xf numFmtId="0" fontId="17" fillId="17" borderId="0" xfId="0" applyFont="1" applyFill="1" applyBorder="1" applyAlignment="1">
      <alignment vertical="center"/>
    </xf>
    <xf numFmtId="176" fontId="19" fillId="17" borderId="0" xfId="0" applyNumberFormat="1" applyFont="1" applyFill="1" applyBorder="1" applyAlignment="1">
      <alignment vertical="center"/>
    </xf>
    <xf numFmtId="0" fontId="21" fillId="7" borderId="0" xfId="0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top" wrapText="1"/>
    </xf>
    <xf numFmtId="0" fontId="21" fillId="7" borderId="1" xfId="0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center" vertical="center" wrapText="1"/>
    </xf>
    <xf numFmtId="176" fontId="5" fillId="7" borderId="1" xfId="0" applyNumberFormat="1" applyFont="1" applyFill="1" applyBorder="1" applyAlignment="1">
      <alignment horizontal="center" vertical="center"/>
    </xf>
    <xf numFmtId="180" fontId="5" fillId="7" borderId="1" xfId="0" applyNumberFormat="1" applyFont="1" applyFill="1" applyBorder="1" applyAlignment="1">
      <alignment horizontal="center" vertical="center"/>
    </xf>
    <xf numFmtId="5" fontId="6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vertical="center"/>
    </xf>
    <xf numFmtId="0" fontId="0" fillId="4" borderId="0" xfId="0" applyFill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5" fontId="5" fillId="7" borderId="0" xfId="0" applyNumberFormat="1" applyFont="1" applyFill="1" applyBorder="1" applyAlignment="1">
      <alignment horizontal="center" vertical="center"/>
    </xf>
    <xf numFmtId="176" fontId="5" fillId="6" borderId="0" xfId="0" applyNumberFormat="1" applyFont="1" applyFill="1" applyBorder="1" applyAlignment="1">
      <alignment horizontal="center" vertical="center" wrapText="1"/>
    </xf>
    <xf numFmtId="5" fontId="5" fillId="6" borderId="0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76" fontId="5" fillId="6" borderId="1" xfId="0" applyNumberFormat="1" applyFont="1" applyFill="1" applyBorder="1" applyAlignment="1">
      <alignment horizontal="center" vertical="center" wrapText="1"/>
    </xf>
    <xf numFmtId="5" fontId="5" fillId="6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18" borderId="0" xfId="0" applyFont="1" applyFill="1" applyBorder="1" applyAlignment="1">
      <alignment horizontal="center" vertical="center" wrapText="1"/>
    </xf>
    <xf numFmtId="0" fontId="4" fillId="18" borderId="0" xfId="0" applyFont="1" applyFill="1" applyBorder="1" applyAlignment="1">
      <alignment horizontal="center" vertical="center"/>
    </xf>
    <xf numFmtId="0" fontId="30" fillId="18" borderId="0" xfId="0" applyFont="1" applyFill="1" applyBorder="1" applyAlignment="1">
      <alignment horizontal="center" vertical="center" wrapText="1"/>
    </xf>
    <xf numFmtId="0" fontId="4" fillId="18" borderId="0" xfId="0" applyNumberFormat="1" applyFont="1" applyFill="1" applyBorder="1" applyAlignment="1">
      <alignment horizontal="center" vertical="center" wrapText="1"/>
    </xf>
    <xf numFmtId="0" fontId="17" fillId="19" borderId="0" xfId="0" applyFont="1" applyFill="1" applyBorder="1" applyAlignment="1">
      <alignment vertical="center"/>
    </xf>
    <xf numFmtId="0" fontId="17" fillId="19" borderId="0" xfId="0" applyFont="1" applyFill="1" applyBorder="1" applyAlignment="1">
      <alignment horizontal="center" vertical="center"/>
    </xf>
    <xf numFmtId="0" fontId="6" fillId="6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vertical="center" wrapText="1"/>
    </xf>
    <xf numFmtId="0" fontId="5" fillId="6" borderId="0" xfId="0" applyFont="1" applyFill="1" applyBorder="1" applyAlignment="1">
      <alignment horizontal="left" vertical="center" wrapText="1"/>
    </xf>
    <xf numFmtId="5" fontId="5" fillId="6" borderId="0" xfId="0" applyNumberFormat="1" applyFont="1" applyFill="1" applyBorder="1" applyAlignment="1">
      <alignment horizontal="center" vertical="center" wrapText="1"/>
    </xf>
    <xf numFmtId="0" fontId="6" fillId="7" borderId="0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left" vertical="center" wrapText="1"/>
    </xf>
    <xf numFmtId="0" fontId="5" fillId="7" borderId="0" xfId="49" applyFont="1" applyFill="1" applyBorder="1" applyAlignment="1">
      <alignment horizontal="center" vertical="center" wrapText="1"/>
    </xf>
    <xf numFmtId="176" fontId="5" fillId="7" borderId="0" xfId="0" applyNumberFormat="1" applyFont="1" applyFill="1" applyBorder="1" applyAlignment="1">
      <alignment horizontal="center" vertical="center" wrapText="1"/>
    </xf>
    <xf numFmtId="5" fontId="5" fillId="7" borderId="0" xfId="0" applyNumberFormat="1" applyFont="1" applyFill="1" applyBorder="1" applyAlignment="1">
      <alignment horizontal="center" vertical="center" wrapText="1"/>
    </xf>
    <xf numFmtId="0" fontId="19" fillId="15" borderId="0" xfId="0" applyFont="1" applyFill="1" applyBorder="1" applyAlignment="1">
      <alignment horizontal="center" vertical="center"/>
    </xf>
    <xf numFmtId="0" fontId="17" fillId="15" borderId="0" xfId="0" applyFont="1" applyFill="1" applyBorder="1" applyAlignment="1">
      <alignment horizontal="center" vertical="center"/>
    </xf>
    <xf numFmtId="0" fontId="5" fillId="6" borderId="0" xfId="0" applyNumberFormat="1" applyFont="1" applyFill="1" applyBorder="1" applyAlignment="1">
      <alignment horizontal="left" vertical="center" wrapText="1"/>
    </xf>
    <xf numFmtId="0" fontId="20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vertical="center" wrapText="1"/>
    </xf>
    <xf numFmtId="0" fontId="6" fillId="4" borderId="0" xfId="0" applyNumberFormat="1" applyFont="1" applyFill="1" applyBorder="1" applyAlignment="1">
      <alignment horizontal="center" vertical="center" wrapText="1"/>
    </xf>
    <xf numFmtId="0" fontId="4" fillId="20" borderId="0" xfId="0" applyFont="1" applyFill="1" applyBorder="1" applyAlignment="1">
      <alignment horizontal="center" vertical="center" wrapText="1"/>
    </xf>
    <xf numFmtId="0" fontId="4" fillId="20" borderId="0" xfId="0" applyFont="1" applyFill="1" applyBorder="1" applyAlignment="1">
      <alignment horizontal="center" vertical="center"/>
    </xf>
    <xf numFmtId="0" fontId="30" fillId="20" borderId="0" xfId="0" applyFont="1" applyFill="1" applyBorder="1" applyAlignment="1">
      <alignment horizontal="center" vertical="center" wrapText="1"/>
    </xf>
    <xf numFmtId="0" fontId="17" fillId="20" borderId="0" xfId="0" applyFont="1" applyFill="1" applyBorder="1" applyAlignment="1">
      <alignment horizontal="center" vertical="center"/>
    </xf>
    <xf numFmtId="0" fontId="4" fillId="20" borderId="0" xfId="0" applyNumberFormat="1" applyFont="1" applyFill="1" applyBorder="1" applyAlignment="1">
      <alignment horizontal="center" vertical="center" wrapText="1"/>
    </xf>
    <xf numFmtId="0" fontId="19" fillId="21" borderId="0" xfId="0" applyFont="1" applyFill="1" applyBorder="1" applyAlignment="1">
      <alignment vertical="center"/>
    </xf>
    <xf numFmtId="0" fontId="19" fillId="21" borderId="0" xfId="0" applyFont="1" applyFill="1" applyBorder="1" applyAlignment="1">
      <alignment horizontal="center" vertical="center"/>
    </xf>
    <xf numFmtId="0" fontId="17" fillId="21" borderId="0" xfId="0" applyFont="1" applyFill="1" applyBorder="1" applyAlignment="1">
      <alignment horizontal="center" vertical="center"/>
    </xf>
    <xf numFmtId="0" fontId="26" fillId="21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0" xfId="49" applyFont="1" applyFill="1" applyBorder="1" applyAlignment="1">
      <alignment horizontal="center" vertical="center" wrapText="1"/>
    </xf>
    <xf numFmtId="0" fontId="6" fillId="22" borderId="0" xfId="0" applyNumberFormat="1" applyFont="1" applyFill="1" applyBorder="1" applyAlignment="1">
      <alignment horizontal="center" vertical="center" wrapText="1"/>
    </xf>
    <xf numFmtId="0" fontId="20" fillId="22" borderId="0" xfId="0" applyFont="1" applyFill="1" applyBorder="1" applyAlignment="1">
      <alignment horizontal="center" vertical="center" wrapText="1"/>
    </xf>
    <xf numFmtId="0" fontId="7" fillId="22" borderId="0" xfId="0" applyFont="1" applyFill="1" applyBorder="1" applyAlignment="1">
      <alignment vertical="center" wrapText="1"/>
    </xf>
    <xf numFmtId="0" fontId="6" fillId="22" borderId="0" xfId="0" applyFont="1" applyFill="1" applyBorder="1" applyAlignment="1">
      <alignment horizontal="center" vertical="center" wrapText="1"/>
    </xf>
    <xf numFmtId="0" fontId="17" fillId="21" borderId="0" xfId="0" applyFont="1" applyFill="1" applyBorder="1" applyAlignment="1">
      <alignment vertical="center"/>
    </xf>
    <xf numFmtId="0" fontId="5" fillId="7" borderId="0" xfId="0" applyNumberFormat="1" applyFont="1" applyFill="1" applyBorder="1" applyAlignment="1">
      <alignment horizontal="left" vertical="center" wrapText="1"/>
    </xf>
    <xf numFmtId="0" fontId="5" fillId="4" borderId="0" xfId="0" applyNumberFormat="1" applyFont="1" applyFill="1" applyBorder="1" applyAlignment="1">
      <alignment horizontal="left" vertical="center" wrapText="1"/>
    </xf>
    <xf numFmtId="0" fontId="19" fillId="23" borderId="0" xfId="0" applyFont="1" applyFill="1" applyBorder="1" applyAlignment="1">
      <alignment vertical="center"/>
    </xf>
    <xf numFmtId="0" fontId="19" fillId="23" borderId="0" xfId="0" applyFont="1" applyFill="1" applyBorder="1" applyAlignment="1">
      <alignment horizontal="center" vertical="center"/>
    </xf>
    <xf numFmtId="0" fontId="17" fillId="23" borderId="0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 wrapText="1"/>
    </xf>
    <xf numFmtId="0" fontId="19" fillId="10" borderId="0" xfId="0" applyFont="1" applyFill="1" applyBorder="1" applyAlignment="1">
      <alignment vertical="center"/>
    </xf>
    <xf numFmtId="0" fontId="19" fillId="10" borderId="0" xfId="0" applyFont="1" applyFill="1" applyBorder="1" applyAlignment="1">
      <alignment horizontal="center" vertical="center"/>
    </xf>
    <xf numFmtId="0" fontId="17" fillId="10" borderId="0" xfId="0" applyFont="1" applyFill="1" applyBorder="1" applyAlignment="1">
      <alignment horizontal="center" vertical="center"/>
    </xf>
    <xf numFmtId="176" fontId="5" fillId="22" borderId="0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 wrapText="1"/>
      <protection locked="0"/>
    </xf>
    <xf numFmtId="0" fontId="32" fillId="7" borderId="0" xfId="0" applyFont="1" applyFill="1" applyBorder="1" applyAlignment="1">
      <alignment horizontal="center" vertical="top" wrapText="1"/>
    </xf>
    <xf numFmtId="0" fontId="19" fillId="17" borderId="0" xfId="0" applyFont="1" applyFill="1" applyBorder="1" applyAlignment="1">
      <alignment vertical="center" wrapText="1"/>
    </xf>
    <xf numFmtId="0" fontId="19" fillId="17" borderId="0" xfId="0" applyFont="1" applyFill="1" applyBorder="1" applyAlignment="1">
      <alignment horizontal="center" vertical="center" wrapText="1"/>
    </xf>
    <xf numFmtId="0" fontId="17" fillId="17" borderId="0" xfId="0" applyFont="1" applyFill="1" applyBorder="1" applyAlignment="1">
      <alignment horizontal="center" vertical="center" wrapText="1"/>
    </xf>
    <xf numFmtId="0" fontId="19" fillId="13" borderId="0" xfId="0" applyFont="1" applyFill="1" applyBorder="1" applyAlignment="1">
      <alignment horizontal="center" vertical="center"/>
    </xf>
    <xf numFmtId="0" fontId="17" fillId="13" borderId="0" xfId="0" applyFont="1" applyFill="1" applyBorder="1" applyAlignment="1">
      <alignment horizontal="center" vertical="center"/>
    </xf>
    <xf numFmtId="0" fontId="32" fillId="6" borderId="0" xfId="0" applyFont="1" applyFill="1" applyBorder="1" applyAlignment="1">
      <alignment horizontal="center" vertical="top" wrapText="1"/>
    </xf>
    <xf numFmtId="0" fontId="19" fillId="14" borderId="0" xfId="0" applyFont="1" applyFill="1" applyBorder="1" applyAlignment="1">
      <alignment horizontal="center" vertical="center"/>
    </xf>
    <xf numFmtId="0" fontId="17" fillId="14" borderId="0" xfId="0" applyFont="1" applyFill="1" applyBorder="1" applyAlignment="1">
      <alignment horizontal="center" vertical="center"/>
    </xf>
    <xf numFmtId="0" fontId="19" fillId="8" borderId="0" xfId="0" applyFont="1" applyFill="1" applyBorder="1" applyAlignment="1">
      <alignment vertical="center"/>
    </xf>
    <xf numFmtId="0" fontId="19" fillId="8" borderId="0" xfId="0" applyFont="1" applyFill="1" applyBorder="1" applyAlignment="1">
      <alignment horizontal="center" vertical="center"/>
    </xf>
    <xf numFmtId="0" fontId="17" fillId="8" borderId="0" xfId="0" applyFont="1" applyFill="1" applyBorder="1" applyAlignment="1">
      <alignment horizontal="center" vertical="center"/>
    </xf>
    <xf numFmtId="0" fontId="5" fillId="6" borderId="0" xfId="49" applyFont="1" applyFill="1" applyBorder="1" applyAlignment="1">
      <alignment horizontal="center" vertical="center" wrapText="1"/>
    </xf>
    <xf numFmtId="0" fontId="19" fillId="24" borderId="0" xfId="0" applyFont="1" applyFill="1" applyBorder="1" applyAlignment="1">
      <alignment vertical="center"/>
    </xf>
    <xf numFmtId="0" fontId="19" fillId="24" borderId="0" xfId="0" applyFont="1" applyFill="1" applyBorder="1" applyAlignment="1">
      <alignment horizontal="center" vertical="center"/>
    </xf>
    <xf numFmtId="0" fontId="17" fillId="24" borderId="0" xfId="0" applyFont="1" applyFill="1" applyBorder="1" applyAlignment="1">
      <alignment horizontal="center" vertical="center"/>
    </xf>
    <xf numFmtId="0" fontId="19" fillId="25" borderId="0" xfId="0" applyFont="1" applyFill="1" applyBorder="1" applyAlignment="1">
      <alignment vertical="center"/>
    </xf>
    <xf numFmtId="0" fontId="19" fillId="25" borderId="0" xfId="0" applyFont="1" applyFill="1" applyBorder="1" applyAlignment="1">
      <alignment horizontal="center" vertical="center"/>
    </xf>
    <xf numFmtId="0" fontId="17" fillId="25" borderId="0" xfId="0" applyFont="1" applyFill="1" applyBorder="1" applyAlignment="1">
      <alignment horizontal="center" vertical="center"/>
    </xf>
    <xf numFmtId="0" fontId="26" fillId="25" borderId="0" xfId="0" applyFont="1" applyFill="1" applyBorder="1" applyAlignment="1">
      <alignment vertical="center"/>
    </xf>
    <xf numFmtId="0" fontId="19" fillId="26" borderId="0" xfId="0" applyFont="1" applyFill="1" applyBorder="1" applyAlignment="1">
      <alignment vertical="center"/>
    </xf>
    <xf numFmtId="0" fontId="19" fillId="26" borderId="0" xfId="0" applyFont="1" applyFill="1" applyBorder="1" applyAlignment="1">
      <alignment horizontal="center" vertical="center"/>
    </xf>
    <xf numFmtId="0" fontId="17" fillId="26" borderId="0" xfId="0" applyFont="1" applyFill="1" applyBorder="1" applyAlignment="1">
      <alignment horizontal="center" vertical="center"/>
    </xf>
    <xf numFmtId="0" fontId="26" fillId="26" borderId="0" xfId="0" applyFont="1" applyFill="1" applyBorder="1" applyAlignment="1">
      <alignment vertical="center"/>
    </xf>
    <xf numFmtId="0" fontId="32" fillId="4" borderId="0" xfId="0" applyFont="1" applyFill="1" applyBorder="1" applyAlignment="1">
      <alignment horizontal="center" vertical="top" wrapText="1"/>
    </xf>
    <xf numFmtId="0" fontId="6" fillId="7" borderId="1" xfId="0" applyNumberFormat="1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176" fontId="5" fillId="7" borderId="1" xfId="0" applyNumberFormat="1" applyFont="1" applyFill="1" applyBorder="1" applyAlignment="1">
      <alignment horizontal="center" vertical="center" wrapText="1"/>
    </xf>
    <xf numFmtId="5" fontId="5" fillId="7" borderId="1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0" fontId="33" fillId="4" borderId="0" xfId="0" applyFont="1" applyFill="1" applyAlignment="1">
      <alignment vertical="center"/>
    </xf>
    <xf numFmtId="0" fontId="34" fillId="27" borderId="2" xfId="0" applyFont="1" applyFill="1" applyBorder="1" applyAlignment="1">
      <alignment horizontal="center" vertical="center" wrapText="1"/>
    </xf>
    <xf numFmtId="0" fontId="34" fillId="27" borderId="3" xfId="0" applyFont="1" applyFill="1" applyBorder="1" applyAlignment="1">
      <alignment horizontal="center" vertical="center" wrapText="1"/>
    </xf>
    <xf numFmtId="0" fontId="35" fillId="4" borderId="2" xfId="0" applyNumberFormat="1" applyFont="1" applyFill="1" applyBorder="1" applyAlignment="1" applyProtection="1">
      <alignment horizontal="center" vertical="center"/>
    </xf>
    <xf numFmtId="0" fontId="35" fillId="4" borderId="3" xfId="0" applyNumberFormat="1" applyFont="1" applyFill="1" applyBorder="1" applyAlignment="1" applyProtection="1">
      <alignment horizontal="center" vertical="center"/>
    </xf>
    <xf numFmtId="0" fontId="35" fillId="4" borderId="4" xfId="0" applyNumberFormat="1" applyFont="1" applyFill="1" applyBorder="1" applyAlignment="1" applyProtection="1">
      <alignment horizontal="center" vertical="center"/>
    </xf>
    <xf numFmtId="0" fontId="35" fillId="4" borderId="5" xfId="0" applyNumberFormat="1" applyFont="1" applyFill="1" applyBorder="1" applyAlignment="1" applyProtection="1">
      <alignment horizontal="center" vertical="center"/>
    </xf>
    <xf numFmtId="0" fontId="35" fillId="4" borderId="0" xfId="0" applyNumberFormat="1" applyFont="1" applyFill="1" applyAlignment="1" applyProtection="1">
      <alignment horizontal="center" vertical="center"/>
    </xf>
    <xf numFmtId="0" fontId="35" fillId="4" borderId="6" xfId="0" applyNumberFormat="1" applyFont="1" applyFill="1" applyBorder="1" applyAlignment="1" applyProtection="1">
      <alignment horizontal="center" vertical="center"/>
    </xf>
    <xf numFmtId="0" fontId="35" fillId="4" borderId="0" xfId="0" applyNumberFormat="1" applyFont="1" applyFill="1" applyBorder="1" applyAlignment="1" applyProtection="1">
      <alignment horizontal="center" vertical="center"/>
    </xf>
    <xf numFmtId="0" fontId="35" fillId="4" borderId="7" xfId="0" applyNumberFormat="1" applyFont="1" applyFill="1" applyBorder="1" applyAlignment="1" applyProtection="1">
      <alignment horizontal="center" vertical="center"/>
    </xf>
    <xf numFmtId="0" fontId="35" fillId="4" borderId="8" xfId="0" applyNumberFormat="1" applyFont="1" applyFill="1" applyBorder="1" applyAlignment="1" applyProtection="1">
      <alignment horizontal="center" vertical="center"/>
    </xf>
    <xf numFmtId="0" fontId="35" fillId="4" borderId="9" xfId="0" applyNumberFormat="1" applyFont="1" applyFill="1" applyBorder="1" applyAlignment="1" applyProtection="1">
      <alignment horizontal="center" vertical="center"/>
    </xf>
    <xf numFmtId="0" fontId="33" fillId="4" borderId="0" xfId="0" applyFont="1" applyFill="1" applyBorder="1" applyAlignment="1">
      <alignment vertical="center"/>
    </xf>
    <xf numFmtId="0" fontId="36" fillId="28" borderId="10" xfId="0" applyNumberFormat="1" applyFont="1" applyFill="1" applyBorder="1" applyAlignment="1" applyProtection="1">
      <alignment horizontal="center" vertical="center" wrapText="1"/>
    </xf>
    <xf numFmtId="0" fontId="36" fillId="28" borderId="11" xfId="0" applyNumberFormat="1" applyFont="1" applyFill="1" applyBorder="1" applyAlignment="1" applyProtection="1">
      <alignment horizontal="center" vertical="center"/>
    </xf>
    <xf numFmtId="0" fontId="36" fillId="28" borderId="12" xfId="0" applyNumberFormat="1" applyFont="1" applyFill="1" applyBorder="1" applyAlignment="1" applyProtection="1">
      <alignment horizontal="center" vertical="center"/>
    </xf>
    <xf numFmtId="0" fontId="37" fillId="29" borderId="13" xfId="0" applyNumberFormat="1" applyFont="1" applyFill="1" applyBorder="1" applyAlignment="1" applyProtection="1">
      <alignment horizontal="center" vertical="center"/>
    </xf>
    <xf numFmtId="0" fontId="37" fillId="29" borderId="14" xfId="0" applyNumberFormat="1" applyFont="1" applyFill="1" applyBorder="1" applyAlignment="1" applyProtection="1">
      <alignment horizontal="center" vertical="center"/>
    </xf>
    <xf numFmtId="0" fontId="35" fillId="4" borderId="2" xfId="0" applyNumberFormat="1" applyFont="1" applyFill="1" applyBorder="1" applyAlignment="1" applyProtection="1">
      <alignment horizontal="left" vertical="center" wrapText="1"/>
    </xf>
    <xf numFmtId="0" fontId="35" fillId="4" borderId="3" xfId="0" applyNumberFormat="1" applyFont="1" applyFill="1" applyBorder="1" applyAlignment="1" applyProtection="1">
      <alignment horizontal="left" vertical="center"/>
    </xf>
    <xf numFmtId="0" fontId="35" fillId="4" borderId="4" xfId="0" applyNumberFormat="1" applyFont="1" applyFill="1" applyBorder="1" applyAlignment="1" applyProtection="1">
      <alignment horizontal="left" vertical="center"/>
    </xf>
    <xf numFmtId="0" fontId="35" fillId="4" borderId="5" xfId="0" applyNumberFormat="1" applyFont="1" applyFill="1" applyBorder="1" applyAlignment="1" applyProtection="1">
      <alignment horizontal="left" vertical="center"/>
    </xf>
    <xf numFmtId="0" fontId="35" fillId="4" borderId="0" xfId="0" applyNumberFormat="1" applyFont="1" applyFill="1" applyAlignment="1" applyProtection="1">
      <alignment horizontal="left" vertical="center"/>
    </xf>
    <xf numFmtId="0" fontId="35" fillId="4" borderId="6" xfId="0" applyNumberFormat="1" applyFont="1" applyFill="1" applyBorder="1" applyAlignment="1" applyProtection="1">
      <alignment horizontal="left" vertical="center"/>
    </xf>
    <xf numFmtId="0" fontId="35" fillId="4" borderId="15" xfId="0" applyNumberFormat="1" applyFont="1" applyFill="1" applyBorder="1" applyAlignment="1" applyProtection="1">
      <alignment horizontal="left" vertical="center"/>
    </xf>
    <xf numFmtId="0" fontId="35" fillId="4" borderId="7" xfId="0" applyNumberFormat="1" applyFont="1" applyFill="1" applyBorder="1" applyAlignment="1" applyProtection="1">
      <alignment horizontal="left" vertical="center"/>
    </xf>
    <xf numFmtId="0" fontId="35" fillId="4" borderId="8" xfId="0" applyNumberFormat="1" applyFont="1" applyFill="1" applyBorder="1" applyAlignment="1" applyProtection="1">
      <alignment horizontal="left" vertical="center"/>
    </xf>
    <xf numFmtId="0" fontId="35" fillId="4" borderId="9" xfId="0" applyNumberFormat="1" applyFont="1" applyFill="1" applyBorder="1" applyAlignment="1" applyProtection="1">
      <alignment horizontal="left" vertical="center"/>
    </xf>
    <xf numFmtId="0" fontId="37" fillId="29" borderId="2" xfId="0" applyNumberFormat="1" applyFont="1" applyFill="1" applyBorder="1" applyAlignment="1" applyProtection="1">
      <alignment horizontal="center" vertical="center"/>
    </xf>
    <xf numFmtId="0" fontId="37" fillId="29" borderId="3" xfId="0" applyNumberFormat="1" applyFont="1" applyFill="1" applyBorder="1" applyAlignment="1" applyProtection="1">
      <alignment horizontal="center" vertical="center"/>
    </xf>
    <xf numFmtId="0" fontId="33" fillId="4" borderId="2" xfId="0" applyFont="1" applyFill="1" applyBorder="1" applyAlignment="1">
      <alignment horizontal="left" vertical="center" wrapText="1"/>
    </xf>
    <xf numFmtId="0" fontId="33" fillId="4" borderId="3" xfId="0" applyFont="1" applyFill="1" applyBorder="1" applyAlignment="1">
      <alignment horizontal="left" vertical="center" wrapText="1"/>
    </xf>
    <xf numFmtId="0" fontId="33" fillId="4" borderId="4" xfId="0" applyFont="1" applyFill="1" applyBorder="1" applyAlignment="1">
      <alignment horizontal="left" vertical="center" wrapText="1"/>
    </xf>
    <xf numFmtId="0" fontId="33" fillId="4" borderId="5" xfId="0" applyFont="1" applyFill="1" applyBorder="1" applyAlignment="1">
      <alignment horizontal="left" vertical="center" wrapText="1"/>
    </xf>
    <xf numFmtId="0" fontId="33" fillId="4" borderId="0" xfId="0" applyFont="1" applyFill="1" applyBorder="1" applyAlignment="1">
      <alignment horizontal="left" vertical="center" wrapText="1"/>
    </xf>
    <xf numFmtId="0" fontId="33" fillId="4" borderId="6" xfId="0" applyFont="1" applyFill="1" applyBorder="1" applyAlignment="1">
      <alignment horizontal="left" vertical="center" wrapText="1"/>
    </xf>
    <xf numFmtId="0" fontId="33" fillId="4" borderId="7" xfId="0" applyFont="1" applyFill="1" applyBorder="1" applyAlignment="1">
      <alignment horizontal="left" vertical="center" wrapText="1"/>
    </xf>
    <xf numFmtId="0" fontId="33" fillId="4" borderId="8" xfId="0" applyFont="1" applyFill="1" applyBorder="1" applyAlignment="1">
      <alignment horizontal="left" vertical="center" wrapText="1"/>
    </xf>
    <xf numFmtId="0" fontId="33" fillId="4" borderId="9" xfId="0" applyFont="1" applyFill="1" applyBorder="1" applyAlignment="1">
      <alignment horizontal="left" vertical="center" wrapText="1"/>
    </xf>
    <xf numFmtId="0" fontId="5" fillId="7" borderId="0" xfId="0" applyNumberFormat="1" applyFont="1" applyFill="1" applyBorder="1" applyAlignment="1" quotePrefix="1">
      <alignment horizontal="center" vertical="center" wrapText="1"/>
    </xf>
    <xf numFmtId="0" fontId="5" fillId="6" borderId="0" xfId="0" applyNumberFormat="1" applyFont="1" applyFill="1" applyBorder="1" applyAlignment="1" quotePrefix="1">
      <alignment horizontal="center" vertical="center" wrapText="1"/>
    </xf>
    <xf numFmtId="0" fontId="5" fillId="4" borderId="0" xfId="0" applyNumberFormat="1" applyFont="1" applyFill="1" applyBorder="1" applyAlignment="1" quotePrefix="1">
      <alignment horizontal="center" vertical="center" wrapText="1"/>
    </xf>
    <xf numFmtId="0" fontId="6" fillId="7" borderId="0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9"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1"/>
      </font>
      <fill>
        <patternFill patternType="solid">
          <bgColor theme="0" tint="-0.0999786370433668"/>
        </patternFill>
      </fill>
    </dxf>
    <dxf>
      <font>
        <b val="1"/>
        <u val="none"/>
        <color theme="1"/>
      </font>
      <fill>
        <patternFill patternType="solid">
          <bgColor theme="0" tint="-0.0999786370433668"/>
        </patternFill>
      </fill>
    </dxf>
    <dxf>
      <font>
        <b val="1"/>
        <u val="none"/>
        <color theme="1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/>
        <vertical/>
        <horizontal/>
      </border>
    </dxf>
    <dxf>
      <font>
        <b val="1"/>
        <u val="none"/>
        <color theme="1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 style="thin">
          <color theme="1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 style="thick">
          <color theme="1"/>
        </bottom>
        <vertical/>
        <horizontal/>
      </border>
    </dxf>
    <dxf>
      <fill>
        <patternFill patternType="solid">
          <bgColor rgb="FFFFFFFF"/>
        </patternFill>
      </fill>
      <border>
        <left/>
        <right style="medium">
          <color theme="1"/>
        </right>
        <top style="thin">
          <color theme="1"/>
        </top>
        <bottom style="medium">
          <color theme="1"/>
        </bottom>
        <vertical/>
        <horizontal/>
      </border>
    </dxf>
    <dxf>
      <fill>
        <patternFill patternType="solid">
          <bgColor rgb="FFFFFFFF"/>
        </patternFill>
      </fill>
      <border>
        <left style="medium">
          <color theme="1"/>
        </left>
        <right/>
        <top style="thin">
          <color theme="1"/>
        </top>
        <bottom style="medium">
          <color theme="1"/>
        </bottom>
        <vertical/>
        <horizontal/>
      </border>
    </dxf>
    <dxf>
      <fill>
        <patternFill patternType="none"/>
      </fill>
      <border>
        <left/>
        <right/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bgColor theme="1" tint="0.9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bgColor theme="1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/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medium">
          <color theme="1"/>
        </left>
        <right/>
        <top style="medium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medium">
          <color theme="1"/>
        </left>
        <right style="medium">
          <color theme="1"/>
        </right>
        <top style="thin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theme="1" tint="0.8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thin">
          <color theme="1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Medium2" defaultPivotStyle="PivotStylePreset2_Accent1">
    <tableStyle name="三线式标题行镶边行表格样式_bf135f" count="9" xr9:uid="{16989471-BEBA-415D-B26C-01A6C5872F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secondRowStripe" dxfId="3"/>
      <tableStyleElement type="firstColumnStripe" dxfId="2"/>
      <tableStyleElement type="firstHeaderCell" dxfId="1"/>
      <tableStyleElement type="lastHeaderCell" dxfId="0"/>
    </tableStyle>
    <tableStyle name="简约边框浅色系标题行镶边行表格样式_59fe4d" count="10" xr9:uid="{8C60EF01-B9C6-4B7B-ACB0-AE16BD628D1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secondRowStripe" dxfId="13"/>
      <tableStyleElement type="firstColumnStripe" dxfId="12"/>
      <tableStyleElement type="secondColumnStripe" dxfId="11"/>
      <tableStyleElement type="firstTotalCell" dxfId="10"/>
      <tableStyleElement type="lastTotalCell" dxfId="9"/>
    </tableStyle>
    <tableStyle name="PivotStylePreset2_Accent1" table="0" count="10" xr9:uid="{267968C8-6FFD-4C36-ACC1-9EA1FD1885CA}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colors>
    <mruColors>
      <color rgb="00DAA875"/>
      <color rgb="004DF5E7"/>
      <color rgb="0057C7D8"/>
      <color rgb="000484B1"/>
      <color rgb="00FB3F67"/>
      <color rgb="00F61851"/>
      <color rgb="00FFB86D"/>
      <color rgb="00FFFF00"/>
      <color rgb="00C4E6E4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100.webp"/><Relationship Id="rId98" Type="http://schemas.openxmlformats.org/officeDocument/2006/relationships/image" Target="media/image99.webp"/><Relationship Id="rId97" Type="http://schemas.openxmlformats.org/officeDocument/2006/relationships/image" Target="media/image98.webp"/><Relationship Id="rId96" Type="http://schemas.openxmlformats.org/officeDocument/2006/relationships/image" Target="media/image97.webp"/><Relationship Id="rId95" Type="http://schemas.openxmlformats.org/officeDocument/2006/relationships/image" Target="media/image96.webp"/><Relationship Id="rId94" Type="http://schemas.openxmlformats.org/officeDocument/2006/relationships/image" Target="media/image95.webp"/><Relationship Id="rId93" Type="http://schemas.openxmlformats.org/officeDocument/2006/relationships/image" Target="media/image94.webp"/><Relationship Id="rId92" Type="http://schemas.openxmlformats.org/officeDocument/2006/relationships/image" Target="media/image93.webp"/><Relationship Id="rId91" Type="http://schemas.openxmlformats.org/officeDocument/2006/relationships/image" Target="media/image92.webp"/><Relationship Id="rId90" Type="http://schemas.openxmlformats.org/officeDocument/2006/relationships/image" Target="media/image91.webp"/><Relationship Id="rId9" Type="http://schemas.openxmlformats.org/officeDocument/2006/relationships/image" Target="media/image10.jpeg"/><Relationship Id="rId89" Type="http://schemas.openxmlformats.org/officeDocument/2006/relationships/image" Target="media/image90.webp"/><Relationship Id="rId88" Type="http://schemas.openxmlformats.org/officeDocument/2006/relationships/image" Target="media/image89.webp"/><Relationship Id="rId87" Type="http://schemas.openxmlformats.org/officeDocument/2006/relationships/image" Target="media/image88.webp"/><Relationship Id="rId86" Type="http://schemas.openxmlformats.org/officeDocument/2006/relationships/image" Target="media/image87.webp"/><Relationship Id="rId85" Type="http://schemas.openxmlformats.org/officeDocument/2006/relationships/image" Target="media/image86.webp"/><Relationship Id="rId84" Type="http://schemas.openxmlformats.org/officeDocument/2006/relationships/image" Target="media/image85.webp"/><Relationship Id="rId83" Type="http://schemas.openxmlformats.org/officeDocument/2006/relationships/image" Target="media/image84.webp"/><Relationship Id="rId82" Type="http://schemas.openxmlformats.org/officeDocument/2006/relationships/image" Target="media/image83.webp"/><Relationship Id="rId81" Type="http://schemas.openxmlformats.org/officeDocument/2006/relationships/image" Target="media/image82.webp"/><Relationship Id="rId80" Type="http://schemas.openxmlformats.org/officeDocument/2006/relationships/image" Target="media/image81.webp"/><Relationship Id="rId8" Type="http://schemas.openxmlformats.org/officeDocument/2006/relationships/image" Target="media/image9.jpeg"/><Relationship Id="rId79" Type="http://schemas.openxmlformats.org/officeDocument/2006/relationships/image" Target="media/image80.webp"/><Relationship Id="rId78" Type="http://schemas.openxmlformats.org/officeDocument/2006/relationships/image" Target="media/image79.jpeg"/><Relationship Id="rId77" Type="http://schemas.openxmlformats.org/officeDocument/2006/relationships/image" Target="media/image78.jpeg"/><Relationship Id="rId76" Type="http://schemas.openxmlformats.org/officeDocument/2006/relationships/image" Target="media/image77.jpeg"/><Relationship Id="rId75" Type="http://schemas.openxmlformats.org/officeDocument/2006/relationships/image" Target="media/image76.jpeg"/><Relationship Id="rId74" Type="http://schemas.openxmlformats.org/officeDocument/2006/relationships/image" Target="media/image75.jpeg"/><Relationship Id="rId73" Type="http://schemas.openxmlformats.org/officeDocument/2006/relationships/image" Target="media/image74.jpeg"/><Relationship Id="rId72" Type="http://schemas.openxmlformats.org/officeDocument/2006/relationships/image" Target="media/image73.jpeg"/><Relationship Id="rId71" Type="http://schemas.openxmlformats.org/officeDocument/2006/relationships/image" Target="media/image72.jpeg"/><Relationship Id="rId70" Type="http://schemas.openxmlformats.org/officeDocument/2006/relationships/image" Target="media/image71.jpeg"/><Relationship Id="rId7" Type="http://schemas.openxmlformats.org/officeDocument/2006/relationships/image" Target="media/image8.jpeg"/><Relationship Id="rId69" Type="http://schemas.openxmlformats.org/officeDocument/2006/relationships/image" Target="media/image70.jpeg"/><Relationship Id="rId68" Type="http://schemas.openxmlformats.org/officeDocument/2006/relationships/image" Target="media/image69.jpeg"/><Relationship Id="rId67" Type="http://schemas.openxmlformats.org/officeDocument/2006/relationships/image" Target="media/image68.jpeg"/><Relationship Id="rId66" Type="http://schemas.openxmlformats.org/officeDocument/2006/relationships/image" Target="media/image67.jpeg"/><Relationship Id="rId65" Type="http://schemas.openxmlformats.org/officeDocument/2006/relationships/image" Target="media/image66.jpeg"/><Relationship Id="rId64" Type="http://schemas.openxmlformats.org/officeDocument/2006/relationships/image" Target="media/image65.jpeg"/><Relationship Id="rId63" Type="http://schemas.openxmlformats.org/officeDocument/2006/relationships/image" Target="media/image64.jpeg"/><Relationship Id="rId62" Type="http://schemas.openxmlformats.org/officeDocument/2006/relationships/image" Target="media/image63.jpeg"/><Relationship Id="rId61" Type="http://schemas.openxmlformats.org/officeDocument/2006/relationships/image" Target="media/image62.jpeg"/><Relationship Id="rId60" Type="http://schemas.openxmlformats.org/officeDocument/2006/relationships/image" Target="media/image61.jpeg"/><Relationship Id="rId6" Type="http://schemas.openxmlformats.org/officeDocument/2006/relationships/image" Target="media/image7.jpeg"/><Relationship Id="rId59" Type="http://schemas.openxmlformats.org/officeDocument/2006/relationships/image" Target="media/image60.jpeg"/><Relationship Id="rId58" Type="http://schemas.openxmlformats.org/officeDocument/2006/relationships/image" Target="media/image59.jpeg"/><Relationship Id="rId57" Type="http://schemas.openxmlformats.org/officeDocument/2006/relationships/image" Target="media/image58.jpeg"/><Relationship Id="rId56" Type="http://schemas.openxmlformats.org/officeDocument/2006/relationships/image" Target="media/image57.jpeg"/><Relationship Id="rId55" Type="http://schemas.openxmlformats.org/officeDocument/2006/relationships/image" Target="media/image56.jpeg"/><Relationship Id="rId54" Type="http://schemas.openxmlformats.org/officeDocument/2006/relationships/image" Target="media/image55.jpeg"/><Relationship Id="rId53" Type="http://schemas.openxmlformats.org/officeDocument/2006/relationships/image" Target="media/image54.jpeg"/><Relationship Id="rId52" Type="http://schemas.openxmlformats.org/officeDocument/2006/relationships/image" Target="media/image53.jpeg"/><Relationship Id="rId51" Type="http://schemas.openxmlformats.org/officeDocument/2006/relationships/image" Target="media/image52.jpeg"/><Relationship Id="rId50" Type="http://schemas.openxmlformats.org/officeDocument/2006/relationships/image" Target="media/image51.jpeg"/><Relationship Id="rId5" Type="http://schemas.openxmlformats.org/officeDocument/2006/relationships/image" Target="media/image6.jpeg"/><Relationship Id="rId49" Type="http://schemas.openxmlformats.org/officeDocument/2006/relationships/image" Target="media/image50.jpeg"/><Relationship Id="rId48" Type="http://schemas.openxmlformats.org/officeDocument/2006/relationships/image" Target="media/image49.jpeg"/><Relationship Id="rId47" Type="http://schemas.openxmlformats.org/officeDocument/2006/relationships/image" Target="media/image48.jpeg"/><Relationship Id="rId46" Type="http://schemas.openxmlformats.org/officeDocument/2006/relationships/image" Target="media/image47.jpeg"/><Relationship Id="rId45" Type="http://schemas.openxmlformats.org/officeDocument/2006/relationships/image" Target="media/image46.jpeg"/><Relationship Id="rId44" Type="http://schemas.openxmlformats.org/officeDocument/2006/relationships/image" Target="media/image45.jpeg"/><Relationship Id="rId43" Type="http://schemas.openxmlformats.org/officeDocument/2006/relationships/image" Target="media/image44.jpeg"/><Relationship Id="rId42" Type="http://schemas.openxmlformats.org/officeDocument/2006/relationships/image" Target="media/image43.jpeg"/><Relationship Id="rId41" Type="http://schemas.openxmlformats.org/officeDocument/2006/relationships/image" Target="media/image42.jpeg"/><Relationship Id="rId40" Type="http://schemas.openxmlformats.org/officeDocument/2006/relationships/image" Target="media/image41.jpeg"/><Relationship Id="rId4" Type="http://schemas.openxmlformats.org/officeDocument/2006/relationships/image" Target="media/image5.jpeg"/><Relationship Id="rId39" Type="http://schemas.openxmlformats.org/officeDocument/2006/relationships/image" Target="media/image40.jpeg"/><Relationship Id="rId38" Type="http://schemas.openxmlformats.org/officeDocument/2006/relationships/image" Target="media/image39.jpeg"/><Relationship Id="rId37" Type="http://schemas.openxmlformats.org/officeDocument/2006/relationships/image" Target="media/image38.jpeg"/><Relationship Id="rId36" Type="http://schemas.openxmlformats.org/officeDocument/2006/relationships/image" Target="media/image37.jpeg"/><Relationship Id="rId35" Type="http://schemas.openxmlformats.org/officeDocument/2006/relationships/image" Target="media/image36.jpeg"/><Relationship Id="rId34" Type="http://schemas.openxmlformats.org/officeDocument/2006/relationships/image" Target="media/image35.png"/><Relationship Id="rId33" Type="http://schemas.openxmlformats.org/officeDocument/2006/relationships/image" Target="media/image34.jpeg"/><Relationship Id="rId32" Type="http://schemas.openxmlformats.org/officeDocument/2006/relationships/image" Target="media/image33.jpeg"/><Relationship Id="rId31" Type="http://schemas.openxmlformats.org/officeDocument/2006/relationships/image" Target="media/image32.jpeg"/><Relationship Id="rId30" Type="http://schemas.openxmlformats.org/officeDocument/2006/relationships/image" Target="media/image31.jpeg"/><Relationship Id="rId3" Type="http://schemas.openxmlformats.org/officeDocument/2006/relationships/image" Target="media/image4.jpeg"/><Relationship Id="rId29" Type="http://schemas.openxmlformats.org/officeDocument/2006/relationships/image" Target="media/image30.jpeg"/><Relationship Id="rId28" Type="http://schemas.openxmlformats.org/officeDocument/2006/relationships/image" Target="media/image29.jpeg"/><Relationship Id="rId27" Type="http://schemas.openxmlformats.org/officeDocument/2006/relationships/image" Target="media/image28.jpeg"/><Relationship Id="rId265" Type="http://schemas.openxmlformats.org/officeDocument/2006/relationships/image" Target="media/image266.jpeg"/><Relationship Id="rId264" Type="http://schemas.openxmlformats.org/officeDocument/2006/relationships/image" Target="media/image265.png"/><Relationship Id="rId263" Type="http://schemas.openxmlformats.org/officeDocument/2006/relationships/image" Target="media/image264.jpeg"/><Relationship Id="rId262" Type="http://schemas.openxmlformats.org/officeDocument/2006/relationships/image" Target="media/image263.jpeg"/><Relationship Id="rId261" Type="http://schemas.openxmlformats.org/officeDocument/2006/relationships/image" Target="media/image262.jpeg"/><Relationship Id="rId260" Type="http://schemas.openxmlformats.org/officeDocument/2006/relationships/image" Target="media/image261.jpeg"/><Relationship Id="rId26" Type="http://schemas.openxmlformats.org/officeDocument/2006/relationships/image" Target="media/image27.jpeg"/><Relationship Id="rId259" Type="http://schemas.openxmlformats.org/officeDocument/2006/relationships/image" Target="media/image260.jpeg"/><Relationship Id="rId258" Type="http://schemas.openxmlformats.org/officeDocument/2006/relationships/image" Target="media/image259.jpeg"/><Relationship Id="rId257" Type="http://schemas.openxmlformats.org/officeDocument/2006/relationships/image" Target="media/image258.jpeg"/><Relationship Id="rId256" Type="http://schemas.openxmlformats.org/officeDocument/2006/relationships/image" Target="media/image257.jpeg"/><Relationship Id="rId255" Type="http://schemas.openxmlformats.org/officeDocument/2006/relationships/image" Target="media/image256.jpeg"/><Relationship Id="rId254" Type="http://schemas.openxmlformats.org/officeDocument/2006/relationships/image" Target="media/image255.webp"/><Relationship Id="rId253" Type="http://schemas.openxmlformats.org/officeDocument/2006/relationships/image" Target="media/image254.jpeg"/><Relationship Id="rId252" Type="http://schemas.openxmlformats.org/officeDocument/2006/relationships/image" Target="media/image253.jpeg"/><Relationship Id="rId251" Type="http://schemas.openxmlformats.org/officeDocument/2006/relationships/image" Target="media/image252.jpeg"/><Relationship Id="rId250" Type="http://schemas.openxmlformats.org/officeDocument/2006/relationships/image" Target="media/image251.jpeg"/><Relationship Id="rId25" Type="http://schemas.openxmlformats.org/officeDocument/2006/relationships/image" Target="media/image26.jpeg"/><Relationship Id="rId249" Type="http://schemas.openxmlformats.org/officeDocument/2006/relationships/image" Target="media/image250.jpeg"/><Relationship Id="rId248" Type="http://schemas.openxmlformats.org/officeDocument/2006/relationships/image" Target="media/image249.jpeg"/><Relationship Id="rId247" Type="http://schemas.openxmlformats.org/officeDocument/2006/relationships/image" Target="media/image248.jpeg"/><Relationship Id="rId246" Type="http://schemas.openxmlformats.org/officeDocument/2006/relationships/image" Target="media/image247.jpeg"/><Relationship Id="rId245" Type="http://schemas.openxmlformats.org/officeDocument/2006/relationships/image" Target="media/image246.jpeg"/><Relationship Id="rId244" Type="http://schemas.openxmlformats.org/officeDocument/2006/relationships/image" Target="media/image245.jpeg"/><Relationship Id="rId243" Type="http://schemas.openxmlformats.org/officeDocument/2006/relationships/image" Target="media/image244.jpeg"/><Relationship Id="rId242" Type="http://schemas.openxmlformats.org/officeDocument/2006/relationships/image" Target="media/image243.jpeg"/><Relationship Id="rId241" Type="http://schemas.openxmlformats.org/officeDocument/2006/relationships/image" Target="media/image242.jpeg"/><Relationship Id="rId240" Type="http://schemas.openxmlformats.org/officeDocument/2006/relationships/image" Target="media/image241.jpeg"/><Relationship Id="rId24" Type="http://schemas.openxmlformats.org/officeDocument/2006/relationships/image" Target="media/image25.jpeg"/><Relationship Id="rId239" Type="http://schemas.openxmlformats.org/officeDocument/2006/relationships/image" Target="media/image240.jpeg"/><Relationship Id="rId238" Type="http://schemas.openxmlformats.org/officeDocument/2006/relationships/image" Target="media/image239.jpeg"/><Relationship Id="rId237" Type="http://schemas.openxmlformats.org/officeDocument/2006/relationships/image" Target="media/image238.jpeg"/><Relationship Id="rId236" Type="http://schemas.openxmlformats.org/officeDocument/2006/relationships/image" Target="media/image237.jpeg"/><Relationship Id="rId235" Type="http://schemas.openxmlformats.org/officeDocument/2006/relationships/image" Target="media/image236.jpeg"/><Relationship Id="rId234" Type="http://schemas.openxmlformats.org/officeDocument/2006/relationships/image" Target="media/image235.jpeg"/><Relationship Id="rId233" Type="http://schemas.openxmlformats.org/officeDocument/2006/relationships/image" Target="media/image234.jpeg"/><Relationship Id="rId232" Type="http://schemas.openxmlformats.org/officeDocument/2006/relationships/image" Target="media/image233.jpeg"/><Relationship Id="rId231" Type="http://schemas.openxmlformats.org/officeDocument/2006/relationships/image" Target="media/image232.jpeg"/><Relationship Id="rId230" Type="http://schemas.openxmlformats.org/officeDocument/2006/relationships/image" Target="media/image231.webp"/><Relationship Id="rId23" Type="http://schemas.openxmlformats.org/officeDocument/2006/relationships/image" Target="media/image24.jpeg"/><Relationship Id="rId229" Type="http://schemas.openxmlformats.org/officeDocument/2006/relationships/image" Target="media/image230.webp"/><Relationship Id="rId228" Type="http://schemas.openxmlformats.org/officeDocument/2006/relationships/image" Target="media/image229.webp"/><Relationship Id="rId227" Type="http://schemas.openxmlformats.org/officeDocument/2006/relationships/image" Target="media/image228.jpeg"/><Relationship Id="rId226" Type="http://schemas.openxmlformats.org/officeDocument/2006/relationships/image" Target="media/image227.jpeg"/><Relationship Id="rId225" Type="http://schemas.openxmlformats.org/officeDocument/2006/relationships/image" Target="media/image226.jpeg"/><Relationship Id="rId224" Type="http://schemas.openxmlformats.org/officeDocument/2006/relationships/image" Target="media/image225.webp"/><Relationship Id="rId223" Type="http://schemas.openxmlformats.org/officeDocument/2006/relationships/image" Target="media/image224.jpeg"/><Relationship Id="rId222" Type="http://schemas.openxmlformats.org/officeDocument/2006/relationships/image" Target="media/image223.jpeg"/><Relationship Id="rId221" Type="http://schemas.openxmlformats.org/officeDocument/2006/relationships/image" Target="media/image222.webp"/><Relationship Id="rId220" Type="http://schemas.openxmlformats.org/officeDocument/2006/relationships/image" Target="media/image221.webp"/><Relationship Id="rId22" Type="http://schemas.openxmlformats.org/officeDocument/2006/relationships/image" Target="media/image23.jpeg"/><Relationship Id="rId219" Type="http://schemas.openxmlformats.org/officeDocument/2006/relationships/image" Target="media/image220.jpeg"/><Relationship Id="rId218" Type="http://schemas.openxmlformats.org/officeDocument/2006/relationships/image" Target="media/image219.jpeg"/><Relationship Id="rId217" Type="http://schemas.openxmlformats.org/officeDocument/2006/relationships/image" Target="media/image218.jpeg"/><Relationship Id="rId216" Type="http://schemas.openxmlformats.org/officeDocument/2006/relationships/image" Target="media/image217.jpeg"/><Relationship Id="rId215" Type="http://schemas.openxmlformats.org/officeDocument/2006/relationships/image" Target="media/image216.jpeg"/><Relationship Id="rId214" Type="http://schemas.openxmlformats.org/officeDocument/2006/relationships/image" Target="media/image215.jpeg"/><Relationship Id="rId213" Type="http://schemas.openxmlformats.org/officeDocument/2006/relationships/image" Target="media/image214.jpeg"/><Relationship Id="rId212" Type="http://schemas.openxmlformats.org/officeDocument/2006/relationships/image" Target="media/image213.jpeg"/><Relationship Id="rId211" Type="http://schemas.openxmlformats.org/officeDocument/2006/relationships/image" Target="media/image212.jpeg"/><Relationship Id="rId210" Type="http://schemas.openxmlformats.org/officeDocument/2006/relationships/image" Target="media/image211.jpeg"/><Relationship Id="rId21" Type="http://schemas.openxmlformats.org/officeDocument/2006/relationships/image" Target="media/image22.jpeg"/><Relationship Id="rId209" Type="http://schemas.openxmlformats.org/officeDocument/2006/relationships/image" Target="media/image210.jpeg"/><Relationship Id="rId208" Type="http://schemas.openxmlformats.org/officeDocument/2006/relationships/image" Target="media/image209.jpeg"/><Relationship Id="rId207" Type="http://schemas.openxmlformats.org/officeDocument/2006/relationships/image" Target="media/image208.jpeg"/><Relationship Id="rId206" Type="http://schemas.openxmlformats.org/officeDocument/2006/relationships/image" Target="media/image207.jpeg"/><Relationship Id="rId205" Type="http://schemas.openxmlformats.org/officeDocument/2006/relationships/image" Target="media/image206.jpeg"/><Relationship Id="rId204" Type="http://schemas.openxmlformats.org/officeDocument/2006/relationships/image" Target="media/image205.jpeg"/><Relationship Id="rId203" Type="http://schemas.openxmlformats.org/officeDocument/2006/relationships/image" Target="media/image204.jpeg"/><Relationship Id="rId202" Type="http://schemas.openxmlformats.org/officeDocument/2006/relationships/image" Target="media/image203.jpeg"/><Relationship Id="rId201" Type="http://schemas.openxmlformats.org/officeDocument/2006/relationships/image" Target="media/image202.jpeg"/><Relationship Id="rId200" Type="http://schemas.openxmlformats.org/officeDocument/2006/relationships/image" Target="media/image201.jpeg"/><Relationship Id="rId20" Type="http://schemas.openxmlformats.org/officeDocument/2006/relationships/image" Target="media/image21.jpeg"/><Relationship Id="rId2" Type="http://schemas.openxmlformats.org/officeDocument/2006/relationships/image" Target="NULL" TargetMode="External"/><Relationship Id="rId199" Type="http://schemas.openxmlformats.org/officeDocument/2006/relationships/image" Target="media/image200.webp"/><Relationship Id="rId198" Type="http://schemas.openxmlformats.org/officeDocument/2006/relationships/image" Target="media/image199.jpeg"/><Relationship Id="rId197" Type="http://schemas.openxmlformats.org/officeDocument/2006/relationships/image" Target="media/image198.webp"/><Relationship Id="rId196" Type="http://schemas.openxmlformats.org/officeDocument/2006/relationships/image" Target="media/image197.jpeg"/><Relationship Id="rId195" Type="http://schemas.openxmlformats.org/officeDocument/2006/relationships/image" Target="media/image196.png"/><Relationship Id="rId194" Type="http://schemas.openxmlformats.org/officeDocument/2006/relationships/image" Target="media/image195.jpeg"/><Relationship Id="rId193" Type="http://schemas.openxmlformats.org/officeDocument/2006/relationships/image" Target="media/image194.webp"/><Relationship Id="rId192" Type="http://schemas.openxmlformats.org/officeDocument/2006/relationships/image" Target="media/image193.jpeg"/><Relationship Id="rId191" Type="http://schemas.openxmlformats.org/officeDocument/2006/relationships/image" Target="media/image192.webp"/><Relationship Id="rId190" Type="http://schemas.openxmlformats.org/officeDocument/2006/relationships/image" Target="media/image191.jpeg"/><Relationship Id="rId19" Type="http://schemas.openxmlformats.org/officeDocument/2006/relationships/image" Target="media/image20.jpeg"/><Relationship Id="rId189" Type="http://schemas.openxmlformats.org/officeDocument/2006/relationships/image" Target="media/image190.jpeg"/><Relationship Id="rId188" Type="http://schemas.openxmlformats.org/officeDocument/2006/relationships/image" Target="media/image189.jpeg"/><Relationship Id="rId187" Type="http://schemas.openxmlformats.org/officeDocument/2006/relationships/image" Target="media/image188.jpeg"/><Relationship Id="rId186" Type="http://schemas.openxmlformats.org/officeDocument/2006/relationships/image" Target="media/image187.jpeg"/><Relationship Id="rId185" Type="http://schemas.openxmlformats.org/officeDocument/2006/relationships/image" Target="media/image186.jpeg"/><Relationship Id="rId184" Type="http://schemas.openxmlformats.org/officeDocument/2006/relationships/image" Target="media/image185.jpeg"/><Relationship Id="rId183" Type="http://schemas.openxmlformats.org/officeDocument/2006/relationships/image" Target="media/image184.jpeg"/><Relationship Id="rId182" Type="http://schemas.openxmlformats.org/officeDocument/2006/relationships/image" Target="media/image183.webp"/><Relationship Id="rId181" Type="http://schemas.openxmlformats.org/officeDocument/2006/relationships/image" Target="media/image182.jpeg"/><Relationship Id="rId180" Type="http://schemas.openxmlformats.org/officeDocument/2006/relationships/image" Target="media/image181.jpeg"/><Relationship Id="rId18" Type="http://schemas.openxmlformats.org/officeDocument/2006/relationships/image" Target="media/image19.jpeg"/><Relationship Id="rId179" Type="http://schemas.openxmlformats.org/officeDocument/2006/relationships/image" Target="media/image180.jpeg"/><Relationship Id="rId178" Type="http://schemas.openxmlformats.org/officeDocument/2006/relationships/image" Target="media/image179.jpeg"/><Relationship Id="rId177" Type="http://schemas.openxmlformats.org/officeDocument/2006/relationships/image" Target="media/image178.jpeg"/><Relationship Id="rId176" Type="http://schemas.openxmlformats.org/officeDocument/2006/relationships/image" Target="media/image177.jpeg"/><Relationship Id="rId175" Type="http://schemas.openxmlformats.org/officeDocument/2006/relationships/image" Target="media/image176.jpeg"/><Relationship Id="rId174" Type="http://schemas.openxmlformats.org/officeDocument/2006/relationships/image" Target="media/image175.jpeg"/><Relationship Id="rId173" Type="http://schemas.openxmlformats.org/officeDocument/2006/relationships/image" Target="media/image174.jpeg"/><Relationship Id="rId172" Type="http://schemas.openxmlformats.org/officeDocument/2006/relationships/image" Target="media/image173.jpeg"/><Relationship Id="rId171" Type="http://schemas.openxmlformats.org/officeDocument/2006/relationships/image" Target="media/image172.jpeg"/><Relationship Id="rId170" Type="http://schemas.openxmlformats.org/officeDocument/2006/relationships/image" Target="media/image171.jpeg"/><Relationship Id="rId17" Type="http://schemas.openxmlformats.org/officeDocument/2006/relationships/image" Target="media/image18.jpeg"/><Relationship Id="rId169" Type="http://schemas.openxmlformats.org/officeDocument/2006/relationships/image" Target="media/image170.jpeg"/><Relationship Id="rId168" Type="http://schemas.openxmlformats.org/officeDocument/2006/relationships/image" Target="media/image169.jpeg"/><Relationship Id="rId167" Type="http://schemas.openxmlformats.org/officeDocument/2006/relationships/image" Target="media/image168.jpeg"/><Relationship Id="rId166" Type="http://schemas.openxmlformats.org/officeDocument/2006/relationships/image" Target="media/image167.jpeg"/><Relationship Id="rId165" Type="http://schemas.openxmlformats.org/officeDocument/2006/relationships/image" Target="media/image166.jpeg"/><Relationship Id="rId164" Type="http://schemas.openxmlformats.org/officeDocument/2006/relationships/image" Target="media/image165.jpeg"/><Relationship Id="rId163" Type="http://schemas.openxmlformats.org/officeDocument/2006/relationships/image" Target="media/image164.jpeg"/><Relationship Id="rId162" Type="http://schemas.openxmlformats.org/officeDocument/2006/relationships/image" Target="media/image163.jpeg"/><Relationship Id="rId161" Type="http://schemas.openxmlformats.org/officeDocument/2006/relationships/image" Target="media/image162.jpeg"/><Relationship Id="rId160" Type="http://schemas.openxmlformats.org/officeDocument/2006/relationships/image" Target="media/image161.jpeg"/><Relationship Id="rId16" Type="http://schemas.openxmlformats.org/officeDocument/2006/relationships/image" Target="media/image17.jpeg"/><Relationship Id="rId159" Type="http://schemas.openxmlformats.org/officeDocument/2006/relationships/image" Target="media/image160.jpeg"/><Relationship Id="rId158" Type="http://schemas.openxmlformats.org/officeDocument/2006/relationships/image" Target="media/image159.png"/><Relationship Id="rId157" Type="http://schemas.openxmlformats.org/officeDocument/2006/relationships/image" Target="media/image158.jpeg"/><Relationship Id="rId156" Type="http://schemas.openxmlformats.org/officeDocument/2006/relationships/image" Target="media/image157.jpeg"/><Relationship Id="rId155" Type="http://schemas.openxmlformats.org/officeDocument/2006/relationships/image" Target="media/image156.jpeg"/><Relationship Id="rId154" Type="http://schemas.openxmlformats.org/officeDocument/2006/relationships/image" Target="media/image155.jpeg"/><Relationship Id="rId153" Type="http://schemas.openxmlformats.org/officeDocument/2006/relationships/image" Target="media/image154.png"/><Relationship Id="rId152" Type="http://schemas.openxmlformats.org/officeDocument/2006/relationships/image" Target="media/image153.png"/><Relationship Id="rId151" Type="http://schemas.openxmlformats.org/officeDocument/2006/relationships/image" Target="media/image152.png"/><Relationship Id="rId150" Type="http://schemas.openxmlformats.org/officeDocument/2006/relationships/image" Target="media/image151.png"/><Relationship Id="rId15" Type="http://schemas.openxmlformats.org/officeDocument/2006/relationships/image" Target="media/image16.jpeg"/><Relationship Id="rId149" Type="http://schemas.openxmlformats.org/officeDocument/2006/relationships/image" Target="media/image150.png"/><Relationship Id="rId148" Type="http://schemas.openxmlformats.org/officeDocument/2006/relationships/image" Target="media/image149.png"/><Relationship Id="rId147" Type="http://schemas.openxmlformats.org/officeDocument/2006/relationships/image" Target="media/image148.png"/><Relationship Id="rId146" Type="http://schemas.openxmlformats.org/officeDocument/2006/relationships/image" Target="media/image147.png"/><Relationship Id="rId145" Type="http://schemas.openxmlformats.org/officeDocument/2006/relationships/image" Target="media/image146.png"/><Relationship Id="rId144" Type="http://schemas.openxmlformats.org/officeDocument/2006/relationships/image" Target="media/image145.png"/><Relationship Id="rId143" Type="http://schemas.openxmlformats.org/officeDocument/2006/relationships/image" Target="media/image144.png"/><Relationship Id="rId142" Type="http://schemas.openxmlformats.org/officeDocument/2006/relationships/image" Target="media/image143.png"/><Relationship Id="rId141" Type="http://schemas.openxmlformats.org/officeDocument/2006/relationships/image" Target="media/image142.png"/><Relationship Id="rId140" Type="http://schemas.openxmlformats.org/officeDocument/2006/relationships/image" Target="media/image141.png"/><Relationship Id="rId14" Type="http://schemas.openxmlformats.org/officeDocument/2006/relationships/image" Target="media/image15.jpeg"/><Relationship Id="rId139" Type="http://schemas.openxmlformats.org/officeDocument/2006/relationships/image" Target="media/image140.png"/><Relationship Id="rId138" Type="http://schemas.openxmlformats.org/officeDocument/2006/relationships/image" Target="media/image139.png"/><Relationship Id="rId137" Type="http://schemas.openxmlformats.org/officeDocument/2006/relationships/image" Target="media/image138.png"/><Relationship Id="rId136" Type="http://schemas.openxmlformats.org/officeDocument/2006/relationships/image" Target="media/image137.png"/><Relationship Id="rId135" Type="http://schemas.openxmlformats.org/officeDocument/2006/relationships/image" Target="media/image136.png"/><Relationship Id="rId134" Type="http://schemas.openxmlformats.org/officeDocument/2006/relationships/image" Target="media/image135.png"/><Relationship Id="rId133" Type="http://schemas.openxmlformats.org/officeDocument/2006/relationships/image" Target="media/image134.png"/><Relationship Id="rId132" Type="http://schemas.openxmlformats.org/officeDocument/2006/relationships/image" Target="media/image133.png"/><Relationship Id="rId131" Type="http://schemas.openxmlformats.org/officeDocument/2006/relationships/image" Target="media/image132.png"/><Relationship Id="rId130" Type="http://schemas.openxmlformats.org/officeDocument/2006/relationships/image" Target="media/image131.png"/><Relationship Id="rId13" Type="http://schemas.openxmlformats.org/officeDocument/2006/relationships/image" Target="media/image14.jpeg"/><Relationship Id="rId129" Type="http://schemas.openxmlformats.org/officeDocument/2006/relationships/image" Target="media/image130.png"/><Relationship Id="rId128" Type="http://schemas.openxmlformats.org/officeDocument/2006/relationships/image" Target="media/image129.png"/><Relationship Id="rId127" Type="http://schemas.openxmlformats.org/officeDocument/2006/relationships/image" Target="media/image128.png"/><Relationship Id="rId126" Type="http://schemas.openxmlformats.org/officeDocument/2006/relationships/image" Target="media/image127.png"/><Relationship Id="rId125" Type="http://schemas.openxmlformats.org/officeDocument/2006/relationships/image" Target="media/image126.png"/><Relationship Id="rId124" Type="http://schemas.openxmlformats.org/officeDocument/2006/relationships/image" Target="media/image125.png"/><Relationship Id="rId123" Type="http://schemas.openxmlformats.org/officeDocument/2006/relationships/image" Target="media/image124.png"/><Relationship Id="rId122" Type="http://schemas.openxmlformats.org/officeDocument/2006/relationships/image" Target="media/image123.png"/><Relationship Id="rId121" Type="http://schemas.openxmlformats.org/officeDocument/2006/relationships/image" Target="media/image122.png"/><Relationship Id="rId120" Type="http://schemas.openxmlformats.org/officeDocument/2006/relationships/image" Target="media/image121.png"/><Relationship Id="rId12" Type="http://schemas.openxmlformats.org/officeDocument/2006/relationships/image" Target="media/image13.jpeg"/><Relationship Id="rId119" Type="http://schemas.openxmlformats.org/officeDocument/2006/relationships/image" Target="media/image120.png"/><Relationship Id="rId118" Type="http://schemas.openxmlformats.org/officeDocument/2006/relationships/image" Target="media/image119.png"/><Relationship Id="rId117" Type="http://schemas.openxmlformats.org/officeDocument/2006/relationships/image" Target="media/image118.png"/><Relationship Id="rId116" Type="http://schemas.openxmlformats.org/officeDocument/2006/relationships/image" Target="media/image117.png"/><Relationship Id="rId115" Type="http://schemas.openxmlformats.org/officeDocument/2006/relationships/image" Target="media/image116.png"/><Relationship Id="rId114" Type="http://schemas.openxmlformats.org/officeDocument/2006/relationships/image" Target="media/image115.png"/><Relationship Id="rId113" Type="http://schemas.openxmlformats.org/officeDocument/2006/relationships/image" Target="media/image114.png"/><Relationship Id="rId112" Type="http://schemas.openxmlformats.org/officeDocument/2006/relationships/image" Target="media/image113.jpeg"/><Relationship Id="rId111" Type="http://schemas.openxmlformats.org/officeDocument/2006/relationships/image" Target="media/image112.jpeg"/><Relationship Id="rId110" Type="http://schemas.openxmlformats.org/officeDocument/2006/relationships/image" Target="media/image111.jpeg"/><Relationship Id="rId11" Type="http://schemas.openxmlformats.org/officeDocument/2006/relationships/image" Target="media/image12.jpeg"/><Relationship Id="rId109" Type="http://schemas.openxmlformats.org/officeDocument/2006/relationships/image" Target="media/image110.jpeg"/><Relationship Id="rId108" Type="http://schemas.openxmlformats.org/officeDocument/2006/relationships/image" Target="media/image109.jpeg"/><Relationship Id="rId107" Type="http://schemas.openxmlformats.org/officeDocument/2006/relationships/image" Target="media/image108.webp"/><Relationship Id="rId106" Type="http://schemas.openxmlformats.org/officeDocument/2006/relationships/image" Target="media/image107.webp"/><Relationship Id="rId105" Type="http://schemas.openxmlformats.org/officeDocument/2006/relationships/image" Target="media/image106.webp"/><Relationship Id="rId104" Type="http://schemas.openxmlformats.org/officeDocument/2006/relationships/image" Target="media/image105.webp"/><Relationship Id="rId103" Type="http://schemas.openxmlformats.org/officeDocument/2006/relationships/image" Target="media/image104.jpeg"/><Relationship Id="rId102" Type="http://schemas.openxmlformats.org/officeDocument/2006/relationships/image" Target="media/image103.webp"/><Relationship Id="rId101" Type="http://schemas.openxmlformats.org/officeDocument/2006/relationships/image" Target="media/image102.webp"/><Relationship Id="rId100" Type="http://schemas.openxmlformats.org/officeDocument/2006/relationships/image" Target="media/image101.webp"/><Relationship Id="rId10" Type="http://schemas.openxmlformats.org/officeDocument/2006/relationships/image" Target="media/image11.jpeg"/><Relationship Id="rId1" Type="http://schemas.openxmlformats.org/officeDocument/2006/relationships/image" Target="media/image3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123825</xdr:colOff>
      <xdr:row>3</xdr:row>
      <xdr:rowOff>62230</xdr:rowOff>
    </xdr:from>
    <xdr:to>
      <xdr:col>10</xdr:col>
      <xdr:colOff>172720</xdr:colOff>
      <xdr:row>12</xdr:row>
      <xdr:rowOff>142240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4225" y="748030"/>
          <a:ext cx="3858895" cy="958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3</xdr:col>
      <xdr:colOff>723900</xdr:colOff>
      <xdr:row>0</xdr:row>
      <xdr:rowOff>553720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3901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 editAs="oneCell">
    <xdr:from>
      <xdr:col>1</xdr:col>
      <xdr:colOff>167005</xdr:colOff>
      <xdr:row>3</xdr:row>
      <xdr:rowOff>179705</xdr:rowOff>
    </xdr:from>
    <xdr:to>
      <xdr:col>1</xdr:col>
      <xdr:colOff>422910</xdr:colOff>
      <xdr:row>3</xdr:row>
      <xdr:rowOff>458470</xdr:rowOff>
    </xdr:to>
    <xdr:pic>
      <xdr:nvPicPr>
        <xdr:cNvPr id="28" name="ID_F01BE7E4FC72412CB097BC0E2E3976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767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27</xdr:row>
      <xdr:rowOff>179705</xdr:rowOff>
    </xdr:from>
    <xdr:to>
      <xdr:col>1</xdr:col>
      <xdr:colOff>422910</xdr:colOff>
      <xdr:row>27</xdr:row>
      <xdr:rowOff>458470</xdr:rowOff>
    </xdr:to>
    <xdr:pic>
      <xdr:nvPicPr>
        <xdr:cNvPr id="30" name="ID_7138F2BBE20E4C20A999465870CE735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578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28</xdr:row>
      <xdr:rowOff>179705</xdr:rowOff>
    </xdr:from>
    <xdr:to>
      <xdr:col>1</xdr:col>
      <xdr:colOff>422910</xdr:colOff>
      <xdr:row>28</xdr:row>
      <xdr:rowOff>458470</xdr:rowOff>
    </xdr:to>
    <xdr:pic>
      <xdr:nvPicPr>
        <xdr:cNvPr id="25" name="ID_213BAAF0ADD046BFA3457A35B84ACE6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642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29</xdr:row>
      <xdr:rowOff>179705</xdr:rowOff>
    </xdr:from>
    <xdr:to>
      <xdr:col>1</xdr:col>
      <xdr:colOff>422910</xdr:colOff>
      <xdr:row>29</xdr:row>
      <xdr:rowOff>458470</xdr:rowOff>
    </xdr:to>
    <xdr:pic>
      <xdr:nvPicPr>
        <xdr:cNvPr id="26" name="ID_BB97CF03EBE74353B5A458D2F7A3DBA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705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40</xdr:row>
      <xdr:rowOff>179705</xdr:rowOff>
    </xdr:from>
    <xdr:to>
      <xdr:col>1</xdr:col>
      <xdr:colOff>422910</xdr:colOff>
      <xdr:row>40</xdr:row>
      <xdr:rowOff>458470</xdr:rowOff>
    </xdr:to>
    <xdr:pic>
      <xdr:nvPicPr>
        <xdr:cNvPr id="31" name="ID_1BCA9105E66A495AA8FE7BD6DB74BAA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372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46</xdr:row>
      <xdr:rowOff>179705</xdr:rowOff>
    </xdr:from>
    <xdr:to>
      <xdr:col>1</xdr:col>
      <xdr:colOff>422910</xdr:colOff>
      <xdr:row>46</xdr:row>
      <xdr:rowOff>458470</xdr:rowOff>
    </xdr:to>
    <xdr:pic>
      <xdr:nvPicPr>
        <xdr:cNvPr id="32" name="ID_7334C988FC1042DFB85CC03E390A2C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753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47</xdr:row>
      <xdr:rowOff>179705</xdr:rowOff>
    </xdr:from>
    <xdr:to>
      <xdr:col>1</xdr:col>
      <xdr:colOff>422910</xdr:colOff>
      <xdr:row>47</xdr:row>
      <xdr:rowOff>458470</xdr:rowOff>
    </xdr:to>
    <xdr:pic>
      <xdr:nvPicPr>
        <xdr:cNvPr id="33" name="ID_D5596842A5B24202BBB690D3DA0060E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817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48</xdr:row>
      <xdr:rowOff>179705</xdr:rowOff>
    </xdr:from>
    <xdr:to>
      <xdr:col>1</xdr:col>
      <xdr:colOff>422910</xdr:colOff>
      <xdr:row>48</xdr:row>
      <xdr:rowOff>458470</xdr:rowOff>
    </xdr:to>
    <xdr:pic>
      <xdr:nvPicPr>
        <xdr:cNvPr id="34" name="ID_16C51E1BFFA342A88A5D5E82A0E288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880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62</xdr:row>
      <xdr:rowOff>179705</xdr:rowOff>
    </xdr:from>
    <xdr:to>
      <xdr:col>1</xdr:col>
      <xdr:colOff>422910</xdr:colOff>
      <xdr:row>62</xdr:row>
      <xdr:rowOff>458470</xdr:rowOff>
    </xdr:to>
    <xdr:pic>
      <xdr:nvPicPr>
        <xdr:cNvPr id="36" name="ID_29F23C634CA641A4A65823FF7CE328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706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64</xdr:row>
      <xdr:rowOff>179705</xdr:rowOff>
    </xdr:from>
    <xdr:to>
      <xdr:col>1</xdr:col>
      <xdr:colOff>422910</xdr:colOff>
      <xdr:row>64</xdr:row>
      <xdr:rowOff>458470</xdr:rowOff>
    </xdr:to>
    <xdr:pic>
      <xdr:nvPicPr>
        <xdr:cNvPr id="37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801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76</xdr:row>
      <xdr:rowOff>179705</xdr:rowOff>
    </xdr:from>
    <xdr:to>
      <xdr:col>1</xdr:col>
      <xdr:colOff>422910</xdr:colOff>
      <xdr:row>76</xdr:row>
      <xdr:rowOff>458470</xdr:rowOff>
    </xdr:to>
    <xdr:pic>
      <xdr:nvPicPr>
        <xdr:cNvPr id="38" name="ID_CDDA136A93BB48408BA367560570B1B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531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80</xdr:row>
      <xdr:rowOff>179705</xdr:rowOff>
    </xdr:from>
    <xdr:to>
      <xdr:col>1</xdr:col>
      <xdr:colOff>422910</xdr:colOff>
      <xdr:row>80</xdr:row>
      <xdr:rowOff>458470</xdr:rowOff>
    </xdr:to>
    <xdr:pic>
      <xdr:nvPicPr>
        <xdr:cNvPr id="39" name="ID_30D2AFCD5F9E465780E70A3F3F60FAE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753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85</xdr:row>
      <xdr:rowOff>179705</xdr:rowOff>
    </xdr:from>
    <xdr:to>
      <xdr:col>1</xdr:col>
      <xdr:colOff>422910</xdr:colOff>
      <xdr:row>85</xdr:row>
      <xdr:rowOff>458470</xdr:rowOff>
    </xdr:to>
    <xdr:pic>
      <xdr:nvPicPr>
        <xdr:cNvPr id="40" name="ID_C642D658E328452A818E7496D7474C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071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94</xdr:row>
      <xdr:rowOff>179705</xdr:rowOff>
    </xdr:from>
    <xdr:to>
      <xdr:col>1</xdr:col>
      <xdr:colOff>422910</xdr:colOff>
      <xdr:row>94</xdr:row>
      <xdr:rowOff>458470</xdr:rowOff>
    </xdr:to>
    <xdr:pic>
      <xdr:nvPicPr>
        <xdr:cNvPr id="42" name="ID_650F7837329343EB8C7FF7C17DDD10C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611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97</xdr:row>
      <xdr:rowOff>179705</xdr:rowOff>
    </xdr:from>
    <xdr:to>
      <xdr:col>1</xdr:col>
      <xdr:colOff>422910</xdr:colOff>
      <xdr:row>97</xdr:row>
      <xdr:rowOff>458470</xdr:rowOff>
    </xdr:to>
    <xdr:pic>
      <xdr:nvPicPr>
        <xdr:cNvPr id="43" name="ID_35099F6A0A464BA8AB9B0CDA9603567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769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99</xdr:row>
      <xdr:rowOff>179705</xdr:rowOff>
    </xdr:from>
    <xdr:to>
      <xdr:col>1</xdr:col>
      <xdr:colOff>422910</xdr:colOff>
      <xdr:row>99</xdr:row>
      <xdr:rowOff>458470</xdr:rowOff>
    </xdr:to>
    <xdr:pic>
      <xdr:nvPicPr>
        <xdr:cNvPr id="44" name="ID_A5BA2021651348088CAF1B49573CB6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896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113</xdr:row>
      <xdr:rowOff>179705</xdr:rowOff>
    </xdr:from>
    <xdr:to>
      <xdr:col>1</xdr:col>
      <xdr:colOff>422910</xdr:colOff>
      <xdr:row>113</xdr:row>
      <xdr:rowOff>458470</xdr:rowOff>
    </xdr:to>
    <xdr:pic>
      <xdr:nvPicPr>
        <xdr:cNvPr id="45" name="ID_3195B225C3FE4610BF72452EB3B7C7C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690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26</xdr:row>
      <xdr:rowOff>179705</xdr:rowOff>
    </xdr:from>
    <xdr:to>
      <xdr:col>1</xdr:col>
      <xdr:colOff>422910</xdr:colOff>
      <xdr:row>26</xdr:row>
      <xdr:rowOff>458470</xdr:rowOff>
    </xdr:to>
    <xdr:pic>
      <xdr:nvPicPr>
        <xdr:cNvPr id="4" name="ID_37A3B3B4FE9545429911C474F1A180A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515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56</xdr:row>
      <xdr:rowOff>179705</xdr:rowOff>
    </xdr:from>
    <xdr:to>
      <xdr:col>1</xdr:col>
      <xdr:colOff>422910</xdr:colOff>
      <xdr:row>56</xdr:row>
      <xdr:rowOff>458470</xdr:rowOff>
    </xdr:to>
    <xdr:pic>
      <xdr:nvPicPr>
        <xdr:cNvPr id="6" name="ID_0B758508829F46F08E7474C858BDB2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356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67</xdr:row>
      <xdr:rowOff>179705</xdr:rowOff>
    </xdr:from>
    <xdr:to>
      <xdr:col>1</xdr:col>
      <xdr:colOff>422910</xdr:colOff>
      <xdr:row>67</xdr:row>
      <xdr:rowOff>458470</xdr:rowOff>
    </xdr:to>
    <xdr:pic>
      <xdr:nvPicPr>
        <xdr:cNvPr id="7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991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68</xdr:row>
      <xdr:rowOff>179705</xdr:rowOff>
    </xdr:from>
    <xdr:to>
      <xdr:col>1</xdr:col>
      <xdr:colOff>422910</xdr:colOff>
      <xdr:row>68</xdr:row>
      <xdr:rowOff>458470</xdr:rowOff>
    </xdr:to>
    <xdr:pic>
      <xdr:nvPicPr>
        <xdr:cNvPr id="8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055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83</xdr:row>
      <xdr:rowOff>179705</xdr:rowOff>
    </xdr:from>
    <xdr:to>
      <xdr:col>1</xdr:col>
      <xdr:colOff>422910</xdr:colOff>
      <xdr:row>83</xdr:row>
      <xdr:rowOff>458470</xdr:rowOff>
    </xdr:to>
    <xdr:pic>
      <xdr:nvPicPr>
        <xdr:cNvPr id="10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944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100</xdr:row>
      <xdr:rowOff>179705</xdr:rowOff>
    </xdr:from>
    <xdr:to>
      <xdr:col>1</xdr:col>
      <xdr:colOff>422910</xdr:colOff>
      <xdr:row>100</xdr:row>
      <xdr:rowOff>458470</xdr:rowOff>
    </xdr:to>
    <xdr:pic>
      <xdr:nvPicPr>
        <xdr:cNvPr id="12" name="ID_650F7837329343EB8C7FF7C17DDD10C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960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66</xdr:row>
      <xdr:rowOff>179705</xdr:rowOff>
    </xdr:from>
    <xdr:to>
      <xdr:col>1</xdr:col>
      <xdr:colOff>422910</xdr:colOff>
      <xdr:row>66</xdr:row>
      <xdr:rowOff>458470</xdr:rowOff>
    </xdr:to>
    <xdr:pic>
      <xdr:nvPicPr>
        <xdr:cNvPr id="14" name="ID_D2CC716FAC5A4934A506A9D62044EBE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928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69</xdr:row>
      <xdr:rowOff>187325</xdr:rowOff>
    </xdr:from>
    <xdr:to>
      <xdr:col>1</xdr:col>
      <xdr:colOff>422910</xdr:colOff>
      <xdr:row>69</xdr:row>
      <xdr:rowOff>466090</xdr:rowOff>
    </xdr:to>
    <xdr:pic>
      <xdr:nvPicPr>
        <xdr:cNvPr id="15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119562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49</xdr:row>
      <xdr:rowOff>179705</xdr:rowOff>
    </xdr:from>
    <xdr:to>
      <xdr:col>1</xdr:col>
      <xdr:colOff>422910</xdr:colOff>
      <xdr:row>49</xdr:row>
      <xdr:rowOff>458470</xdr:rowOff>
    </xdr:to>
    <xdr:pic>
      <xdr:nvPicPr>
        <xdr:cNvPr id="2" name="ID_D5596842A5B24202BBB690D3DA0060E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944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51</xdr:row>
      <xdr:rowOff>179705</xdr:rowOff>
    </xdr:from>
    <xdr:to>
      <xdr:col>1</xdr:col>
      <xdr:colOff>422910</xdr:colOff>
      <xdr:row>51</xdr:row>
      <xdr:rowOff>458470</xdr:rowOff>
    </xdr:to>
    <xdr:pic>
      <xdr:nvPicPr>
        <xdr:cNvPr id="9" name="ID_16C51E1BFFA342A88A5D5E82A0E288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071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50</xdr:row>
      <xdr:rowOff>179705</xdr:rowOff>
    </xdr:from>
    <xdr:to>
      <xdr:col>1</xdr:col>
      <xdr:colOff>422910</xdr:colOff>
      <xdr:row>50</xdr:row>
      <xdr:rowOff>458470</xdr:rowOff>
    </xdr:to>
    <xdr:pic>
      <xdr:nvPicPr>
        <xdr:cNvPr id="16" name="ID_16C51E1BFFA342A88A5D5E82A0E288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007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55</xdr:row>
      <xdr:rowOff>179705</xdr:rowOff>
    </xdr:from>
    <xdr:to>
      <xdr:col>1</xdr:col>
      <xdr:colOff>422910</xdr:colOff>
      <xdr:row>55</xdr:row>
      <xdr:rowOff>458470</xdr:rowOff>
    </xdr:to>
    <xdr:pic>
      <xdr:nvPicPr>
        <xdr:cNvPr id="17" name="ID_29F23C634CA641A4A65823FF7CE328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293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70</xdr:row>
      <xdr:rowOff>179705</xdr:rowOff>
    </xdr:from>
    <xdr:to>
      <xdr:col>1</xdr:col>
      <xdr:colOff>422910</xdr:colOff>
      <xdr:row>70</xdr:row>
      <xdr:rowOff>458470</xdr:rowOff>
    </xdr:to>
    <xdr:pic>
      <xdr:nvPicPr>
        <xdr:cNvPr id="19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182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77</xdr:row>
      <xdr:rowOff>187325</xdr:rowOff>
    </xdr:from>
    <xdr:to>
      <xdr:col>1</xdr:col>
      <xdr:colOff>422910</xdr:colOff>
      <xdr:row>77</xdr:row>
      <xdr:rowOff>466090</xdr:rowOff>
    </xdr:to>
    <xdr:pic>
      <xdr:nvPicPr>
        <xdr:cNvPr id="20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595812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88</xdr:row>
      <xdr:rowOff>179705</xdr:rowOff>
    </xdr:from>
    <xdr:to>
      <xdr:col>1</xdr:col>
      <xdr:colOff>422910</xdr:colOff>
      <xdr:row>88</xdr:row>
      <xdr:rowOff>458470</xdr:rowOff>
    </xdr:to>
    <xdr:pic>
      <xdr:nvPicPr>
        <xdr:cNvPr id="21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261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103</xdr:row>
      <xdr:rowOff>179705</xdr:rowOff>
    </xdr:from>
    <xdr:to>
      <xdr:col>1</xdr:col>
      <xdr:colOff>422910</xdr:colOff>
      <xdr:row>103</xdr:row>
      <xdr:rowOff>458470</xdr:rowOff>
    </xdr:to>
    <xdr:pic>
      <xdr:nvPicPr>
        <xdr:cNvPr id="22" name="ID_650F7837329343EB8C7FF7C17DDD10C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150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114</xdr:row>
      <xdr:rowOff>179705</xdr:rowOff>
    </xdr:from>
    <xdr:to>
      <xdr:col>1</xdr:col>
      <xdr:colOff>422910</xdr:colOff>
      <xdr:row>114</xdr:row>
      <xdr:rowOff>458470</xdr:rowOff>
    </xdr:to>
    <xdr:pic>
      <xdr:nvPicPr>
        <xdr:cNvPr id="23" name="ID_3195B225C3FE4610BF72452EB3B7C7C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754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42</xdr:row>
      <xdr:rowOff>179705</xdr:rowOff>
    </xdr:from>
    <xdr:to>
      <xdr:col>1</xdr:col>
      <xdr:colOff>422910</xdr:colOff>
      <xdr:row>42</xdr:row>
      <xdr:rowOff>458470</xdr:rowOff>
    </xdr:to>
    <xdr:pic>
      <xdr:nvPicPr>
        <xdr:cNvPr id="24" name="ID_7138F2BBE20E4C20A999465870CE735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499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43</xdr:row>
      <xdr:rowOff>179705</xdr:rowOff>
    </xdr:from>
    <xdr:to>
      <xdr:col>1</xdr:col>
      <xdr:colOff>422910</xdr:colOff>
      <xdr:row>43</xdr:row>
      <xdr:rowOff>458470</xdr:rowOff>
    </xdr:to>
    <xdr:pic>
      <xdr:nvPicPr>
        <xdr:cNvPr id="27" name="ID_1BCA9105E66A495AA8FE7BD6DB74BAA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563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44</xdr:row>
      <xdr:rowOff>179705</xdr:rowOff>
    </xdr:from>
    <xdr:to>
      <xdr:col>1</xdr:col>
      <xdr:colOff>422910</xdr:colOff>
      <xdr:row>44</xdr:row>
      <xdr:rowOff>458470</xdr:rowOff>
    </xdr:to>
    <xdr:pic>
      <xdr:nvPicPr>
        <xdr:cNvPr id="29" name="ID_7138F2BBE20E4C20A999465870CE735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626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84</xdr:row>
      <xdr:rowOff>179705</xdr:rowOff>
    </xdr:from>
    <xdr:to>
      <xdr:col>1</xdr:col>
      <xdr:colOff>422910</xdr:colOff>
      <xdr:row>84</xdr:row>
      <xdr:rowOff>458470</xdr:rowOff>
    </xdr:to>
    <xdr:pic>
      <xdr:nvPicPr>
        <xdr:cNvPr id="41" name="ID_30D2AFCD5F9E465780E70A3F3F60FAE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007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111</xdr:row>
      <xdr:rowOff>179705</xdr:rowOff>
    </xdr:from>
    <xdr:to>
      <xdr:col>1</xdr:col>
      <xdr:colOff>422910</xdr:colOff>
      <xdr:row>111</xdr:row>
      <xdr:rowOff>458470</xdr:rowOff>
    </xdr:to>
    <xdr:pic>
      <xdr:nvPicPr>
        <xdr:cNvPr id="46" name="ID_3195B225C3FE4610BF72452EB3B7C7C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595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45</xdr:row>
      <xdr:rowOff>179705</xdr:rowOff>
    </xdr:from>
    <xdr:to>
      <xdr:col>1</xdr:col>
      <xdr:colOff>422910</xdr:colOff>
      <xdr:row>45</xdr:row>
      <xdr:rowOff>458470</xdr:rowOff>
    </xdr:to>
    <xdr:pic>
      <xdr:nvPicPr>
        <xdr:cNvPr id="13" name="ID_1BCA9105E66A495AA8FE7BD6DB74BAA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690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78</xdr:row>
      <xdr:rowOff>179705</xdr:rowOff>
    </xdr:from>
    <xdr:to>
      <xdr:col>1</xdr:col>
      <xdr:colOff>422910</xdr:colOff>
      <xdr:row>78</xdr:row>
      <xdr:rowOff>458470</xdr:rowOff>
    </xdr:to>
    <xdr:pic>
      <xdr:nvPicPr>
        <xdr:cNvPr id="35" name="ID_CDDA136A93BB48408BA367560570B1B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658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494665</xdr:colOff>
      <xdr:row>0</xdr:row>
      <xdr:rowOff>553085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3</xdr:col>
      <xdr:colOff>295910</xdr:colOff>
      <xdr:row>0</xdr:row>
      <xdr:rowOff>562610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202946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 editAs="oneCell">
    <xdr:from>
      <xdr:col>1</xdr:col>
      <xdr:colOff>219710</xdr:colOff>
      <xdr:row>44</xdr:row>
      <xdr:rowOff>117475</xdr:rowOff>
    </xdr:from>
    <xdr:to>
      <xdr:col>1</xdr:col>
      <xdr:colOff>475615</xdr:colOff>
      <xdr:row>44</xdr:row>
      <xdr:rowOff>396240</xdr:rowOff>
    </xdr:to>
    <xdr:pic>
      <xdr:nvPicPr>
        <xdr:cNvPr id="120" name="ID_02722239663A4A4C97ABC1B728BB02B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1961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51</xdr:row>
      <xdr:rowOff>117475</xdr:rowOff>
    </xdr:from>
    <xdr:to>
      <xdr:col>1</xdr:col>
      <xdr:colOff>475615</xdr:colOff>
      <xdr:row>51</xdr:row>
      <xdr:rowOff>396240</xdr:rowOff>
    </xdr:to>
    <xdr:pic>
      <xdr:nvPicPr>
        <xdr:cNvPr id="119" name="ID_BF74014554044A5099E3DE6A86BB9C1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5136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52</xdr:row>
      <xdr:rowOff>117475</xdr:rowOff>
    </xdr:from>
    <xdr:to>
      <xdr:col>1</xdr:col>
      <xdr:colOff>475615</xdr:colOff>
      <xdr:row>52</xdr:row>
      <xdr:rowOff>396240</xdr:rowOff>
    </xdr:to>
    <xdr:pic>
      <xdr:nvPicPr>
        <xdr:cNvPr id="3" name="ID_1350EFC501C94FAB865693F914AF237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5644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34</xdr:row>
      <xdr:rowOff>117475</xdr:rowOff>
    </xdr:from>
    <xdr:to>
      <xdr:col>1</xdr:col>
      <xdr:colOff>475615</xdr:colOff>
      <xdr:row>34</xdr:row>
      <xdr:rowOff>396240</xdr:rowOff>
    </xdr:to>
    <xdr:pic>
      <xdr:nvPicPr>
        <xdr:cNvPr id="127" name="ID_5442BE1DBCCE46B39F6E80E5B9CFDA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17071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12</xdr:row>
      <xdr:rowOff>117475</xdr:rowOff>
    </xdr:from>
    <xdr:to>
      <xdr:col>1</xdr:col>
      <xdr:colOff>475615</xdr:colOff>
      <xdr:row>12</xdr:row>
      <xdr:rowOff>396240</xdr:rowOff>
    </xdr:to>
    <xdr:pic>
      <xdr:nvPicPr>
        <xdr:cNvPr id="126" name="ID_324C916832F04C65ACABDEA3D89BC80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6086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3</xdr:row>
      <xdr:rowOff>117475</xdr:rowOff>
    </xdr:from>
    <xdr:to>
      <xdr:col>1</xdr:col>
      <xdr:colOff>475615</xdr:colOff>
      <xdr:row>3</xdr:row>
      <xdr:rowOff>396240</xdr:rowOff>
    </xdr:to>
    <xdr:pic>
      <xdr:nvPicPr>
        <xdr:cNvPr id="121" name="ID_A910353D75424AD1BFB18BF2C9C2D9D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1704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4</xdr:row>
      <xdr:rowOff>117475</xdr:rowOff>
    </xdr:from>
    <xdr:to>
      <xdr:col>1</xdr:col>
      <xdr:colOff>475615</xdr:colOff>
      <xdr:row>4</xdr:row>
      <xdr:rowOff>396240</xdr:rowOff>
    </xdr:to>
    <xdr:pic>
      <xdr:nvPicPr>
        <xdr:cNvPr id="122" name="ID_71BA189D813F416DAD708A449E2E211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212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6</xdr:row>
      <xdr:rowOff>117475</xdr:rowOff>
    </xdr:from>
    <xdr:to>
      <xdr:col>1</xdr:col>
      <xdr:colOff>475615</xdr:colOff>
      <xdr:row>6</xdr:row>
      <xdr:rowOff>396240</xdr:rowOff>
    </xdr:to>
    <xdr:pic>
      <xdr:nvPicPr>
        <xdr:cNvPr id="123" name="ID_6A5E39EC182A4FF7868A1AF7010E43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3228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11</xdr:row>
      <xdr:rowOff>117475</xdr:rowOff>
    </xdr:from>
    <xdr:to>
      <xdr:col>1</xdr:col>
      <xdr:colOff>475615</xdr:colOff>
      <xdr:row>11</xdr:row>
      <xdr:rowOff>396240</xdr:rowOff>
    </xdr:to>
    <xdr:pic>
      <xdr:nvPicPr>
        <xdr:cNvPr id="2" name="ID_494902C7F96C4EBEA4F96FD713D059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5578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17</xdr:row>
      <xdr:rowOff>0</xdr:rowOff>
    </xdr:from>
    <xdr:to>
      <xdr:col>1</xdr:col>
      <xdr:colOff>475615</xdr:colOff>
      <xdr:row>17</xdr:row>
      <xdr:rowOff>278765</xdr:rowOff>
    </xdr:to>
    <xdr:pic>
      <xdr:nvPicPr>
        <xdr:cNvPr id="4" name="ID_324C916832F04C65ACABDEA3D89BC80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8509000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49</xdr:row>
      <xdr:rowOff>117475</xdr:rowOff>
    </xdr:from>
    <xdr:to>
      <xdr:col>1</xdr:col>
      <xdr:colOff>475615</xdr:colOff>
      <xdr:row>49</xdr:row>
      <xdr:rowOff>396240</xdr:rowOff>
    </xdr:to>
    <xdr:pic>
      <xdr:nvPicPr>
        <xdr:cNvPr id="5" name="ID_71BA189D813F416DAD708A449E2E211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4310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391160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372745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867410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391160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403860</xdr:colOff>
      <xdr:row>0</xdr:row>
      <xdr:rowOff>553085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xingtu.cn/ad/creator/author-homepage/douyin-video/6791920181795880967?market_track_id=IM3U27N5TPWIQ7CVV1N0&amp;search_session_id=7506429437123608587&amp;video_type=2&amp;_route_from=from_page%3DMarket%26search_session_id%3D7506429437123608587%26is_for_order%3D1%26market_track_id%3DIM3U27N5TPWIQ7CVV1N0%26platform_source%3D1%26key%3D%25E6%2598%25AF%25E8%2585%25BF%25E8%2585%25BF%25E8%2580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8" Type="http://schemas.openxmlformats.org/officeDocument/2006/relationships/hyperlink" Target="https://www.xingtu.cn/ad/creator/author-homepage/douyin-video/6918092611571941389?market_track_id=O3DRWQMXZTJK4BBZ0EKJ&amp;search_session_id=7506429452747112460&amp;video_type=2&amp;_route_from=from_page%3DMarket%26search_session_id%3D7506429452747112460%26is_for_order%3D1%26market_track_id%3DO3DRWQMXZTJK4BBZ0EKJ%26platform_source%3D1%26key%3D%25E6%25A2%25A6%25E8%25BD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7" Type="http://schemas.openxmlformats.org/officeDocument/2006/relationships/hyperlink" Target="https://www.xingtu.cn/ad/creator/author-homepage/douyin-video/6763253245738483715?market_track_id=C0I7KHGF451531MIIVWW&amp;search_session_id=7506416851413450764&amp;video_type=2&amp;_route_from=from_page%3DMarket%26search_session_id%3D7506416851413450764%26is_for_order%3D1%26market_track_id%3DC0I7KHGF451531MIIVWW%26platform_source%3D1%26key%3D%25E8%25B1%259A%25E8%25B1%259A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6" Type="http://schemas.openxmlformats.org/officeDocument/2006/relationships/hyperlink" Target="https://www.xingtu.cn/ad/creator/author-homepage/douyin-video/6596679555342139396?market_track_id=BT0EEIGVJVDIVEW41ZGX&amp;search_session_id=7506429136803135507&amp;video_type=2&amp;_route_from=from_page%3DMarket%26search_session_id%3D7506429136803135507%26is_for_order%3D1%26market_track_id%3DBT0EEIGVJVDIVEW41ZGX%26platform_source%3D1%26key%3D%25E7%258E%258B%25E6%2583%2585%25E6%25B0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5" Type="http://schemas.openxmlformats.org/officeDocument/2006/relationships/hyperlink" Target="https://www.xingtu.cn/ad/creator/author-homepage/douyin-video/6734527767246798860?market_track_id=WKVXPSL4IKRQJNQ4NM5M&amp;search_session_id=7506429136802496531&amp;video_type=2&amp;_route_from=from_page%3DMarket%26search_session_id%3D7506429136802496531%26is_for_order%3D1%26market_track_id%3DWKVXPSL4IKRQJNQ4NM5M%26platform_source%3D1%26key%3D%25E9%259B%25AA%25E8%2595%258A%25E5%2591%2580%25EF%25BC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4" Type="http://schemas.openxmlformats.org/officeDocument/2006/relationships/hyperlink" Target="https://www.xingtu.cn/ad/creator/author-homepage/douyin-video/6629659903533252612?market_track_id=49QF5IG7N77EGGQ6BGXL&amp;search_session_id=7506428888890212371&amp;video_type=2&amp;_route_from=from_page%3DMarket%26search_session_id%3D7506428888890212371%26is_for_order%3D1%26market_track_id%3D49QF5IG7N77EGGQ6BGXL%26platform_source%3D1%26key%3D%25E5%25A4%25A7%25E4%25BD%25AC%25E7%2594%259CGiovann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3" Type="http://schemas.openxmlformats.org/officeDocument/2006/relationships/hyperlink" Target="https://www.xingtu.cn/ad/creator/author-homepage/douyin-video/6678504237074219021?market_track_id=D13CLSKP8FWFDVFPETW1&amp;search_session_id=7506418842764115980&amp;video_type=2&amp;_route_from=from_page%3DMarket%26search_session_id%3D7506418842764115980%26is_for_order%3D1%26market_track_id%3DD13CLSKP8FWFDVFPETW1%26platform_source%3D1%26key%3D%25E6%25AF%2594%25E6%25A0%25BC%25E8%25B4%25B9%25E8%25A5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2" Type="http://schemas.openxmlformats.org/officeDocument/2006/relationships/hyperlink" Target="https://www.xingtu.cn/ad/creator/author-homepage/douyin-video/6846195326383030286?market_track_id=FOAXG3JNKY28QCQJUMNJ&amp;search_session_id=7506419512900763660&amp;video_type=2&amp;_route_from=from_page%3DMarket%26search_session_id%3D7506419512900763660%26is_for_order%3D1%26market_track_id%3DFOAXG3JNKY28QCQJUMNJ%26platform_source%3D1%26key%3D%25E8%25BF%259E%25E8%259C%259C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1" Type="http://schemas.openxmlformats.org/officeDocument/2006/relationships/hyperlink" Target="https://www.xingtu.cn/ad/creator/author-homepage/douyin-video/6906468704179978253?market_track_id=PF8ZCBKZ0WM963G1RPPE&amp;search_session_id=7506418652669968420&amp;video_type=2&amp;_route_from=from_page%3DMarket%26search_session_id%3D7506418652669968420%26is_for_order%3D1%26market_track_id%3DPF8ZCBKZ0WM963G1RPPE%26platform_source%3D1%26key%3D%25E8%2581%25AA%25E4%25BB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0" Type="http://schemas.openxmlformats.org/officeDocument/2006/relationships/hyperlink" Target="https://www.xingtu.cn/ad/creator/author-homepage/douyin-video/7260488513212710970?market_track_id=3V43JEXVIF8XB9KJH909&amp;search_session_id=7506416010629988393&amp;video_type=2&amp;_route_from=from_page%3DMarket%26search_session_id%3D7506416010629988393%26is_for_order%3D1%26market_track_id%3D3V43JEXVIF8XB9KJH909%26platform_source%3D1%26key%3D%25E5%25B0%258F%25E5%25B9%25B4N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" Type="http://schemas.openxmlformats.org/officeDocument/2006/relationships/hyperlink" Target="https://v.douyin.com/N9wSKAr/" TargetMode="External"/><Relationship Id="rId89" Type="http://schemas.openxmlformats.org/officeDocument/2006/relationships/hyperlink" Target="https://www.xingtu.cn/ad/creator/author-homepage/douyin-video/6910389796934254599?market_track_id=ZAKP6TWX3Z0B093LXPGP&amp;search_session_id=7506415352033706038&amp;video_type=2&amp;_route_from=from_page%3DMarket%26search_session_id%3D7506415352033706038%26is_for_order%3D1%26market_track_id%3DZAKP6TWX3Z0B093LXPGP%26platform_source%3D1%26key%3D%25E9%25B9%25BF%25E9%2587%258C%25E7%259C%259F%25E8%258C%2597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88" Type="http://schemas.openxmlformats.org/officeDocument/2006/relationships/hyperlink" Target="https://www.xingtu.cn/ad/creator/author-homepage/douyin-video/6783864693632008200?market_track_id=DX2XFJA2VHND2WDXVECP&amp;search_session_id=7506418399556894774&amp;video_type=2&amp;_route_from=from_page%3DMarket%26search_session_id%3D7506418399556894774%26is_for_order%3D1%26market_track_id%3DDX2XFJA2VHND2WDXVECP%26platform_source%3D1%26key%3DCn%2B%25E8%2584%25B8%25E6%2589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7" Type="http://schemas.openxmlformats.org/officeDocument/2006/relationships/hyperlink" Target="https://www.xingtu.cn/ad/creator/author-homepage/douyin-video/6938687645769990180?market_track_id=DMIQS879LMYA0HUM1WM8&amp;search_session_id=7506418399556698166&amp;video_type=2&amp;_route_from=from_page%3DMarket%26search_session_id%3D7506418399556698166%26is_for_order%3D1%26market_track_id%3DDMIQS879LMYA0HUM1WM8%26platform_source%3D1%26key%3D%25E6%25B3%25BD%25E9%2599%25BD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6" Type="http://schemas.openxmlformats.org/officeDocument/2006/relationships/hyperlink" Target="https://www.xingtu.cn/ad/creator/author-homepage/douyin-video/6789921129067724814?market_track_id=J7IHFN9EOYAI4FHGGJAS&amp;search_session_id=7506418399556157494&amp;video_type=2&amp;_route_from=from_page%3DMarket%26search_session_id%3D7506418399556157494%26is_for_order%3D1%26market_track_id%3DJ7IHFN9EOYAI4FHGGJAS%26platform_source%3D1%26key%3D%25E8%25B6%2585%25E4%25B8%258D%25E5%258F%25AF%25E7%2588%25B1%25E5%25B0%258F%25E6%259C%258B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5" Type="http://schemas.openxmlformats.org/officeDocument/2006/relationships/hyperlink" Target="https://www.xingtu.cn/ad/creator/author-homepage/douyin-video/6959337293316358177?market_track_id=ZFTAZJCSHTMZDAY2RDSW&amp;search_session_id=7506419462191530047&amp;video_type=2&amp;_route_from=from_page%3DMarket%26search_session_id%3D7506419462191530047%26is_for_order%3D1%26market_track_id%3DZFTAZJCSHTMZDAY2RDSW%26platform_source%3D1%26key%3D%25E7%259A%25AE%25E5%258D%25A1%25E7%2599%25BD%25E7%259A%2584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4" Type="http://schemas.openxmlformats.org/officeDocument/2006/relationships/hyperlink" Target="https://www.xingtu.cn/ad/creator/author-homepage/douyin-video/6855307372995280896?market_track_id=0U7XA97WQ7FAZ0HB1OQJ&amp;search_session_id=7506419289869107212&amp;video_type=2&amp;_route_from=from_page%3DMarket%26search_session_id%3D7506419289869107212%26is_for_order%3D1%26market_track_id%3D0U7XA97WQ7FAZ0HB1OQJ%26platform_source%3D1%26key%3D%25E8%2592%258B%25E4%25B8%2580%25E4%25BA%25BF%25F0%259F%259A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3" Type="http://schemas.openxmlformats.org/officeDocument/2006/relationships/hyperlink" Target="https://www.xingtu.cn/ad/creator/author-homepage/douyin-video/6629725045386117128?market_track_id=SUU99W0ZLQ0TMB899JER&amp;search_session_id=7506419291269644299&amp;video_type=2&amp;_route_from=from_page%3DMarket%26search_session_id%3D7506419291269644299%26is_for_order%3D1%26market_track_id%3DSUU99W0ZLQ0TMB899JER%26platform_source%3D1%26key%3D%25E4%25B8%2581%25E5%2595%258A%25E5%258F%25A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2" Type="http://schemas.openxmlformats.org/officeDocument/2006/relationships/hyperlink" Target="https://www.xingtu.cn/ad/creator/author-homepage/douyin-video/6629127176400666631?market_track_id=N70MFCTDKM9P7OANQPMW&amp;search_session_id=7506419022990000191&amp;video_type=2&amp;_route_from=from_page%3DMarket%26search_session_id%3D7506419022990000191%26is_for_order%3D1%26market_track_id%3DN70MFCTDKM9P7OANQPMW%26platform_source%3D1%26key%3D%25E5%25A4%258F77%25F0%259F%259F%25A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1" Type="http://schemas.openxmlformats.org/officeDocument/2006/relationships/hyperlink" Target="https://www.xingtu.cn/ad/creator/author-homepage/douyin-video/6949818439837941797?market_track_id=9OPR4JK5A7HVRUI77UJN&amp;search_session_id=7506418791321731126&amp;video_type=2&amp;_route_from=from_page%3DMarket%26search_session_id%3D7506418791321731126%26is_for_order%3D1%26market_track_id%3D9OPR4JK5A7HVRUI77UJN%26platform_source%3D1%26key%3D%25E6%259E%2581%25E9%2580%259F%25E9%25A9%25AC%25E5%258A%259Bpart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0" Type="http://schemas.openxmlformats.org/officeDocument/2006/relationships/hyperlink" Target="https://www.xingtu.cn/ad/creator/author-homepage/douyin-video/6810323760353116173?market_track_id=IA07VR1GJP47ACCZYL53&amp;search_session_id=7506418842764410892&amp;video_type=2&amp;_route_from=from_page%3DMarket%26search_session_id%3D7506418842764410892%26is_for_order%3D1%26market_track_id%3DIA07VR1GJP47ACCZYL53%26platform_source%3D1%26key%3D%25E6%259D%258E%25E4%25BA%258C%25E7%258B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" Type="http://schemas.openxmlformats.org/officeDocument/2006/relationships/hyperlink" Target="https://v.douyin.com/8bbdWJN/" TargetMode="External"/><Relationship Id="rId79" Type="http://schemas.openxmlformats.org/officeDocument/2006/relationships/hyperlink" Target="https://www.xingtu.cn/ad/creator/author-homepage/douyin-video/6862212139365433351?market_track_id=JXOUKGOXRY4JAFGRHUQG&amp;search_session_id=7506418242886713356&amp;video_type=2&amp;_route_from=from_page%3DMarket%26search_session_id%3D7506418242886713356%26is_for_order%3D1%26market_track_id%3DJXOUKGOXRY4JAFGRHUQG%26platform_source%3D1%26key%3D%25E9%259D%2596%25E9%259B%2585%25E6%25AC%25A7%25E5%25B7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8" Type="http://schemas.openxmlformats.org/officeDocument/2006/relationships/hyperlink" Target="https://www.xingtu.cn/ad/creator/author-homepage/douyin-video/6740393506990194696?market_track_id=DRKK9SM8L3131BHUIM88&amp;search_session_id=7506417872022700043&amp;video_type=2&amp;_route_from=from_page%3DMarket%26search_session_id%3D7506417872022700043%26is_for_order%3D1%26market_track_id%3DDRKK9SM8L3131BHUIM88%26platform_source%3D1%26key%3D%25E8%2583%2596%25E5%2598%259F%25E5%2598%259F%25E7%259A%2584%25E5%2598%259F%25E5%2598%259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7" Type="http://schemas.openxmlformats.org/officeDocument/2006/relationships/hyperlink" Target="https://www.xingtu.cn/ad/creator/author-homepage/douyin-video/6870159698314657800?market_track_id=M6JS4GY2JCQA979V3KAD&amp;search_session_id=7506417872022290443&amp;video_type=2&amp;_route_from=from_page%3DMarket%26search_session_id%3D7506417872022290443%26is_for_order%3D1%26market_track_id%3DM6JS4GY2JCQA979V3KAD%26platform_source%3D1%26key%3D%25E5%25A9%25B5%25E5%25A9%25B5%25E8%25AF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6" Type="http://schemas.openxmlformats.org/officeDocument/2006/relationships/hyperlink" Target="https://www.xingtu.cn/ad/creator/author-homepage/douyin-video/6972449205344272397?market_track_id=12F1X1FVTARAS8ZLYBSV&amp;search_session_id=7506417675443978303&amp;video_type=2&amp;_route_from=from_page%3DMarket%26search_session_id%3D7506417675443978303%26is_for_order%3D1%26market_track_id%3D12F1X1FVTARAS8ZLYBSV%26platform_source%3D1%26key%3D%25E5%25A4%25A7%25E9%25BB%2584h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5" Type="http://schemas.openxmlformats.org/officeDocument/2006/relationships/hyperlink" Target="https://www.xingtu.cn/ad/creator/author-homepage/douyin-video/6969058840033624100?market_track_id=HO4R075KN87AMKT91EZI&amp;search_session_id=7506417746180341771&amp;video_type=2&amp;_route_from=from_page%3DMarket%26search_session_id%3D7506417746180341771%26is_for_order%3D1%26market_track_id%3DHO4R075KN87AMKT91EZI%26platform_source%3D1%26key%3D%25E5%2591%25A8%25E4%25B8%2589%25E6%258B%25B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4" Type="http://schemas.openxmlformats.org/officeDocument/2006/relationships/hyperlink" Target="https://www.xingtu.cn/ad/creator/author-homepage/douyin-video/7088976987129118750?market_track_id=PKJYMCMSCNCDLLT2NLC8&amp;search_session_id=7506417544229322771&amp;video_type=2&amp;_route_from=from_page%3DMarket%26search_session_id%3D7506417544229322771%26is_for_order%3D1%26market_track_id%3DPKJYMCMSCNCDLLT2NLC8%26platform_source%3D1%26key%3D%25E6%2597%25A0%25E7%25B3%2596%25E5%25A5%25B6%25E8%258C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3" Type="http://schemas.openxmlformats.org/officeDocument/2006/relationships/hyperlink" Target="https://www.xingtu.cn/ad/creator/author-homepage/douyin-video/6901242939247181837?market_track_id=3NJRXSI18EDC89GFPWSA&amp;search_session_id=7506417328482517003&amp;video_type=2&amp;_route_from=from_page%3DMarket%26search_session_id%3D7506417328482517003%26is_for_order%3D1%26market_track_id%3D3NJRXSI18EDC89GFPWSA%26platform_source%3D1%26key%3D%25E5%258A%25A0%25E8%258F%25B2%25E8%258F%25A1z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2" Type="http://schemas.openxmlformats.org/officeDocument/2006/relationships/hyperlink" Target="https://www.xingtu.cn/ad/creator/author-homepage/douyin-video/6701875533669466123?market_track_id=Y0AJ09JJPQMI0X9YE9AH&amp;search_session_id=7506416770640199721&amp;video_type=2&amp;_route_from=from_page%3DMarket%26search_session_id%3D7506416770640199721%26is_for_order%3D1%26market_track_id%3DY0AJ09JJPQMI0X9YE9AH%26platform_source%3D1%26key%3D%25E5%25BD%25A6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1" Type="http://schemas.openxmlformats.org/officeDocument/2006/relationships/hyperlink" Target="https://www.xingtu.cn/ad/creator/author-homepage/douyin-video/6746573383141425164?market_track_id=IQF8MKDF0SBPY8SY7L1R&amp;search_session_id=7506414821974310953&amp;video_type=2&amp;_route_from=from_page%3DMarket%26search_session_id%3D7506414821974310953%26is_for_order%3D1%26market_track_id%3DIQF8MKDF0SBPY8SY7L1R%26platform_source%3D1%26key%3D%25E8%25A5%25BF%25E7%2593%259C%25E5%25A5%2587%25E5%25B9%25BB%25E5%25B7%25A5%25E5%258E%2582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70" Type="http://schemas.openxmlformats.org/officeDocument/2006/relationships/hyperlink" Target="https://www.xingtu.cn/ad/creator/author-homepage/douyin-video/7078614603908317197?market_track_id=1YSRQNKR4S0KIKU5Y91R&amp;search_session_id=7506416249376358439&amp;video_type=2&amp;_route_from=from_page%3DMarket%26search_session_id%3D7506416249376358439%26is_for_order%3D1%26market_track_id%3D1YSRQNKR4S0KIKU5Y91R%26platform_source%3D1%26key%3D%25E6%259C%25B1%25E9%2593%2581%25E9%259B%258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" Type="http://schemas.openxmlformats.org/officeDocument/2006/relationships/hyperlink" Target="https://v.douyin.com/eCcKy1K/" TargetMode="External"/><Relationship Id="rId69" Type="http://schemas.openxmlformats.org/officeDocument/2006/relationships/hyperlink" Target="https://www.xingtu.cn/ad/creator/author-homepage/douyin-video/6984651683640901662?market_track_id=L7P4GANMST0846PF62J0&amp;search_session_id=7506419875221504011&amp;video_type=2&amp;_route_from=from_page%3DMarket%26search_session_id%3D7506419875221504011%26is_for_order%3D1%26market_track_id%3DL7P4GANMST0846PF62J0%26platform_source%3D1%26key%3D%25E9%25B9%25BF%25E5%2584%25BFer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68" Type="http://schemas.openxmlformats.org/officeDocument/2006/relationships/hyperlink" Target="https://v.douyin.com/iLnMvpHr/" TargetMode="External"/><Relationship Id="rId67" Type="http://schemas.openxmlformats.org/officeDocument/2006/relationships/hyperlink" Target="https://v.douyin.com/iJPnedXN/" TargetMode="External"/><Relationship Id="rId66" Type="http://schemas.openxmlformats.org/officeDocument/2006/relationships/hyperlink" Target="https://v.douyin.com/iJPnXVxk/" TargetMode="External"/><Relationship Id="rId65" Type="http://schemas.openxmlformats.org/officeDocument/2006/relationships/hyperlink" Target="https://v.douyin.com/ieJE8VSW/" TargetMode="External"/><Relationship Id="rId64" Type="http://schemas.openxmlformats.org/officeDocument/2006/relationships/hyperlink" Target="https://v.douyin.com/iSSP2279/ 2@2.com" TargetMode="External"/><Relationship Id="rId63" Type="http://schemas.openxmlformats.org/officeDocument/2006/relationships/hyperlink" Target="https://v.douyin.com/i5boShFY/" TargetMode="External"/><Relationship Id="rId62" Type="http://schemas.openxmlformats.org/officeDocument/2006/relationships/hyperlink" Target="https://v.douyin.com/_lMUnKhZ_vE/" TargetMode="External"/><Relationship Id="rId61" Type="http://schemas.openxmlformats.org/officeDocument/2006/relationships/hyperlink" Target="https://v.douyin.com/l48-W0BWH2c/" TargetMode="External"/><Relationship Id="rId60" Type="http://schemas.openxmlformats.org/officeDocument/2006/relationships/hyperlink" Target="https://v.douyin.com/D2Syf86/" TargetMode="External"/><Relationship Id="rId6" Type="http://schemas.openxmlformats.org/officeDocument/2006/relationships/hyperlink" Target="https://v.douyin.com/JCK38Tm/" TargetMode="External"/><Relationship Id="rId59" Type="http://schemas.openxmlformats.org/officeDocument/2006/relationships/hyperlink" Target="https://v.douyin.com/rXkgpu2/" TargetMode="External"/><Relationship Id="rId58" Type="http://schemas.openxmlformats.org/officeDocument/2006/relationships/hyperlink" Target="https://v.douyin.com/dHJh1Q1/" TargetMode="External"/><Relationship Id="rId57" Type="http://schemas.openxmlformats.org/officeDocument/2006/relationships/hyperlink" Target="https://v.douyin.com/iDDrdfwC/ 9@0.com" TargetMode="External"/><Relationship Id="rId56" Type="http://schemas.openxmlformats.org/officeDocument/2006/relationships/hyperlink" Target="https://v.douyin.com/iy5xpGEA/" TargetMode="External"/><Relationship Id="rId55" Type="http://schemas.openxmlformats.org/officeDocument/2006/relationships/hyperlink" Target="https://v.douyin.com/iYBa8VBc/" TargetMode="External"/><Relationship Id="rId54" Type="http://schemas.openxmlformats.org/officeDocument/2006/relationships/hyperlink" Target="https://v.douyin.com/RNPgvkV/" TargetMode="External"/><Relationship Id="rId53" Type="http://schemas.openxmlformats.org/officeDocument/2006/relationships/hyperlink" Target="https://v.douyin.com/FSHKXaa/" TargetMode="External"/><Relationship Id="rId52" Type="http://schemas.openxmlformats.org/officeDocument/2006/relationships/hyperlink" Target="https://v.douyin.com/iUU8cHHq/" TargetMode="External"/><Relationship Id="rId51" Type="http://schemas.openxmlformats.org/officeDocument/2006/relationships/hyperlink" Target="https://v.douyin.com/iDDUXSLj/ 9@1.com :2pm" TargetMode="External"/><Relationship Id="rId50" Type="http://schemas.openxmlformats.org/officeDocument/2006/relationships/hyperlink" Target="https://v.douyin.com/iDDaWpJE/ 8@1.com :1pm" TargetMode="External"/><Relationship Id="rId5" Type="http://schemas.openxmlformats.org/officeDocument/2006/relationships/hyperlink" Target="https://v.douyin.com/En7hpe/" TargetMode="External"/><Relationship Id="rId49" Type="http://schemas.openxmlformats.org/officeDocument/2006/relationships/hyperlink" Target="https://v.douyin.com/24q2eQN/" TargetMode="External"/><Relationship Id="rId48" Type="http://schemas.openxmlformats.org/officeDocument/2006/relationships/hyperlink" Target="https://v.douyin.com/iBXmyyq9/ 3@3.com" TargetMode="External"/><Relationship Id="rId47" Type="http://schemas.openxmlformats.org/officeDocument/2006/relationships/hyperlink" Target="https://v.douyin.com/ikHJhdsd/ 5@0.com" TargetMode="External"/><Relationship Id="rId46" Type="http://schemas.openxmlformats.org/officeDocument/2006/relationships/hyperlink" Target="https://v.douyin.com/ihLfY4my/ 1@8.com" TargetMode="External"/><Relationship Id="rId45" Type="http://schemas.openxmlformats.org/officeDocument/2006/relationships/hyperlink" Target="https://v.douyin.com/ihY3Bnto/ 3@1.com" TargetMode="External"/><Relationship Id="rId44" Type="http://schemas.openxmlformats.org/officeDocument/2006/relationships/hyperlink" Target="https://v.douyin.com/ik1j1xge/ 9@3.com" TargetMode="External"/><Relationship Id="rId43" Type="http://schemas.openxmlformats.org/officeDocument/2006/relationships/hyperlink" Target="https://v.douyin.com/i6jrprmo/ 5@2.com" TargetMode="External"/><Relationship Id="rId42" Type="http://schemas.openxmlformats.org/officeDocument/2006/relationships/hyperlink" Target="https://v.douyin.com/i2H5qaFs/" TargetMode="External"/><Relationship Id="rId41" Type="http://schemas.openxmlformats.org/officeDocument/2006/relationships/hyperlink" Target="https://v.douyin.com/iY85x94D/" TargetMode="External"/><Relationship Id="rId40" Type="http://schemas.openxmlformats.org/officeDocument/2006/relationships/hyperlink" Target="https://v.douyin.com/ijjdY42F/" TargetMode="External"/><Relationship Id="rId4" Type="http://schemas.openxmlformats.org/officeDocument/2006/relationships/hyperlink" Target="https://v.douyin.com/JGoHUQ1/" TargetMode="External"/><Relationship Id="rId39" Type="http://schemas.openxmlformats.org/officeDocument/2006/relationships/hyperlink" Target="https://v.douyin.com/ijAbtYL4/" TargetMode="External"/><Relationship Id="rId38" Type="http://schemas.openxmlformats.org/officeDocument/2006/relationships/hyperlink" Target="https://v.douyin.com/FSgqeNj/" TargetMode="External"/><Relationship Id="rId37" Type="http://schemas.openxmlformats.org/officeDocument/2006/relationships/hyperlink" Target="https://v.douyin.com/8Y1YhAe/" TargetMode="External"/><Relationship Id="rId36" Type="http://schemas.openxmlformats.org/officeDocument/2006/relationships/hyperlink" Target="https://v.douyin.com/eC3yEYf/" TargetMode="External"/><Relationship Id="rId35" Type="http://schemas.openxmlformats.org/officeDocument/2006/relationships/hyperlink" Target="https://v.douyin.com/iLnrNjSN/" TargetMode="External"/><Relationship Id="rId34" Type="http://schemas.openxmlformats.org/officeDocument/2006/relationships/hyperlink" Target="https://v.douyin.com/iLb8hLmv/" TargetMode="External"/><Relationship Id="rId33" Type="http://schemas.openxmlformats.org/officeDocument/2006/relationships/hyperlink" Target="https://v.douyin.com/iRjb6jSc/" TargetMode="External"/><Relationship Id="rId32" Type="http://schemas.openxmlformats.org/officeDocument/2006/relationships/hyperlink" Target="https://v.douyin.com/idVsSMmU/" TargetMode="External"/><Relationship Id="rId31" Type="http://schemas.openxmlformats.org/officeDocument/2006/relationships/hyperlink" Target="https://v.douyin.com/ieJEk27r/" TargetMode="External"/><Relationship Id="rId30" Type="http://schemas.openxmlformats.org/officeDocument/2006/relationships/hyperlink" Target="https://v.douyin.com/N59HuqG/" TargetMode="External"/><Relationship Id="rId3" Type="http://schemas.openxmlformats.org/officeDocument/2006/relationships/hyperlink" Target="https://v.douyin.com/EngtHX/" TargetMode="External"/><Relationship Id="rId29" Type="http://schemas.openxmlformats.org/officeDocument/2006/relationships/hyperlink" Target="https://v.douyin.com/iJCV86d/" TargetMode="External"/><Relationship Id="rId28" Type="http://schemas.openxmlformats.org/officeDocument/2006/relationships/hyperlink" Target="https://v.douyin.com/U7hrxCa/" TargetMode="External"/><Relationship Id="rId27" Type="http://schemas.openxmlformats.org/officeDocument/2006/relationships/hyperlink" Target="https://v.douyin.com/jcNeW61/" TargetMode="External"/><Relationship Id="rId26" Type="http://schemas.openxmlformats.org/officeDocument/2006/relationships/hyperlink" Target="https://v.douyin.com/AEx3WQG/" TargetMode="External"/><Relationship Id="rId25" Type="http://schemas.openxmlformats.org/officeDocument/2006/relationships/hyperlink" Target="https://v.douyin.com/AvYkCxx/" TargetMode="External"/><Relationship Id="rId24" Type="http://schemas.openxmlformats.org/officeDocument/2006/relationships/hyperlink" Target="https://v.douyin.com/SyqNhh3/" TargetMode="External"/><Relationship Id="rId23" Type="http://schemas.openxmlformats.org/officeDocument/2006/relationships/hyperlink" Target="https://v.douyin.com/S2jDbCK/" TargetMode="External"/><Relationship Id="rId22" Type="http://schemas.openxmlformats.org/officeDocument/2006/relationships/hyperlink" Target="https://v.douyin.com/BcRnESq/" TargetMode="External"/><Relationship Id="rId21" Type="http://schemas.openxmlformats.org/officeDocument/2006/relationships/hyperlink" Target="https://v.douyin.com/BNvsvjV/" TargetMode="External"/><Relationship Id="rId209" Type="http://schemas.openxmlformats.org/officeDocument/2006/relationships/hyperlink" Target="https://v.douyin.com/HPjVdhwpF6g/" TargetMode="External"/><Relationship Id="rId208" Type="http://schemas.openxmlformats.org/officeDocument/2006/relationships/hyperlink" Target="https://www.xingtu.cn/ad/creator/author-homepage/douyin-video/6686261173408497672?market_track_id=C9KC0V2695YKCAMPRZAN&amp;search_session_id=7603622751542902847&amp;possessStarId" TargetMode="External"/><Relationship Id="rId207" Type="http://schemas.openxmlformats.org/officeDocument/2006/relationships/hyperlink" Target="https://www.xingtu.cn/ad/creator/author-homepage/douyin-video/7098360218605584397?market_track_id=3JWSUIQCG3KMWOONLRSM&amp;search_session_id=7599601920637927465&amp;possessStarId" TargetMode="External"/><Relationship Id="rId206" Type="http://schemas.openxmlformats.org/officeDocument/2006/relationships/hyperlink" Target="https://www.xingtu.cn/ad/creator/author-homepage/douyin-video/6870112228712923144?market_track_id=I0U981DWX92MXI5VN9S6&amp;search_session_id=7597722299365965878&amp;possessStarId" TargetMode="External"/><Relationship Id="rId205" Type="http://schemas.openxmlformats.org/officeDocument/2006/relationships/hyperlink" Target="https://v.douyin.com/oc0iSkp3I-Y/" TargetMode="External"/><Relationship Id="rId204" Type="http://schemas.openxmlformats.org/officeDocument/2006/relationships/hyperlink" Target="https://www.xingtu.cn/ad/creator/author-homepage/douyin-video/6870166394432913422?market_track_id=7LU66Y0MMMAC8P83FUP9&amp;search_session_id=7597722017286488118&amp;possessStarId" TargetMode="External"/><Relationship Id="rId203" Type="http://schemas.openxmlformats.org/officeDocument/2006/relationships/hyperlink" Target="https://v.douyin.com/cCHj7dKTG10/" TargetMode="External"/><Relationship Id="rId202" Type="http://schemas.openxmlformats.org/officeDocument/2006/relationships/hyperlink" Target="https://www.xingtu.cn/ad/creator/author-homepage/douyin-video/7326903080321024010?market_track_id=4ED161GP8MO20S4OQWX6&amp;search_session_id=7593255005709598774&amp;possessStarId" TargetMode="External"/><Relationship Id="rId201" Type="http://schemas.openxmlformats.org/officeDocument/2006/relationships/hyperlink" Target="https://v.douyin.com/KeTRN28g1m0/" TargetMode="External"/><Relationship Id="rId200" Type="http://schemas.openxmlformats.org/officeDocument/2006/relationships/hyperlink" Target="https://v.douyin.com/--EOPwGtm5E/" TargetMode="External"/><Relationship Id="rId20" Type="http://schemas.openxmlformats.org/officeDocument/2006/relationships/hyperlink" Target="https://v.douyin.com/YFDupKa/" TargetMode="External"/><Relationship Id="rId2" Type="http://schemas.openxmlformats.org/officeDocument/2006/relationships/hyperlink" Target="https://v.douyin.com/ee1Ud3N/" TargetMode="External"/><Relationship Id="rId199" Type="http://schemas.openxmlformats.org/officeDocument/2006/relationships/hyperlink" Target="https://www.xingtu.cn/ad/creator/author-homepage/douyin-video/7353512627252920346?market_track_id=F644SGRAKU4KVG6NFBUU&amp;search_session_id=7579571893079212038&amp;possessStarId" TargetMode="External"/><Relationship Id="rId198" Type="http://schemas.openxmlformats.org/officeDocument/2006/relationships/hyperlink" Target="https://v.douyin.com/mQXUpIr3xO0/" TargetMode="External"/><Relationship Id="rId197" Type="http://schemas.openxmlformats.org/officeDocument/2006/relationships/hyperlink" Target="https://www.xingtu.cn/ad/creator/author-homepage/douyin-video/7164610130468667422?market_track_id=UDUYNLMS4L8IX6O5Q35O&amp;search_session_id=7587244361512747027&amp;possessStarId" TargetMode="External"/><Relationship Id="rId196" Type="http://schemas.openxmlformats.org/officeDocument/2006/relationships/hyperlink" Target="https://v.douyin.com/ijRaTmKu/" TargetMode="External"/><Relationship Id="rId195" Type="http://schemas.openxmlformats.org/officeDocument/2006/relationships/hyperlink" Target="https://www.xingtu.cn/ad/creator/author-homepage/douyin-video/6845057970179407879?market_track_id=E4Y19KVH1MWTEGLI5F2L&amp;search_session_id=7586573267851608070&amp;possessStarId" TargetMode="External"/><Relationship Id="rId194" Type="http://schemas.openxmlformats.org/officeDocument/2006/relationships/hyperlink" Target="https://v.douyin.com/9sgmrPxyfp8/" TargetMode="External"/><Relationship Id="rId193" Type="http://schemas.openxmlformats.org/officeDocument/2006/relationships/hyperlink" Target="https://www.xingtu.cn/ad/creator/author-homepage/douyin-video/7220300260617224252?market_track_id=3KUHLSB48RKZ5QU7UJG1&amp;search_session_id=7585483192904761398&amp;possessStarId" TargetMode="External"/><Relationship Id="rId192" Type="http://schemas.openxmlformats.org/officeDocument/2006/relationships/hyperlink" Target="https://v.douyin.com/UMaHdy_IyKw/" TargetMode="External"/><Relationship Id="rId191" Type="http://schemas.openxmlformats.org/officeDocument/2006/relationships/hyperlink" Target="https://www.xingtu.cn/ad/creator/author-homepage/douyin-video/7072935851847581734?market_track_id=LDXVS0SXIARWO5W865W2&amp;search_session_id=7583963797183758342&amp;possessStarId" TargetMode="External"/><Relationship Id="rId190" Type="http://schemas.openxmlformats.org/officeDocument/2006/relationships/hyperlink" Target="https://v.douyin.com/z7JKhSGLHj4/" TargetMode="External"/><Relationship Id="rId19" Type="http://schemas.openxmlformats.org/officeDocument/2006/relationships/hyperlink" Target="https://v.douyin.com/N7vAXXo/" TargetMode="External"/><Relationship Id="rId189" Type="http://schemas.openxmlformats.org/officeDocument/2006/relationships/hyperlink" Target="https://www.xingtu.cn/ad/creator/author-homepage/douyin-video/7421456107962368035?market_track_id=K01Z0FZ5DRR53BHT7OPI&amp;search_session_id=7582861478090899475&amp;possessStarId" TargetMode="External"/><Relationship Id="rId188" Type="http://schemas.openxmlformats.org/officeDocument/2006/relationships/hyperlink" Target="https://v.douyin.com/UppQ41r130A/" TargetMode="External"/><Relationship Id="rId187" Type="http://schemas.openxmlformats.org/officeDocument/2006/relationships/hyperlink" Target="https://www.xingtu.cn/ad/creator/author-homepage/douyin-video/6963730998898982948?market_track_id=7AOT1L3NXCYERYL2WKII&amp;search_session_id=7579578253254754358&amp;possessStarId" TargetMode="External"/><Relationship Id="rId186" Type="http://schemas.openxmlformats.org/officeDocument/2006/relationships/hyperlink" Target="https://v.douyin.com/sW37YfqVKkg/" TargetMode="External"/><Relationship Id="rId185" Type="http://schemas.openxmlformats.org/officeDocument/2006/relationships/hyperlink" Target="https://www.xingtu.cn/ad/creator/author-homepage/douyin-video/6819548254661771272?market_track_id=AH4RR3UMN9HSCR01P642&amp;search_session_id=7579518972032024582&amp;possessStarId" TargetMode="External"/><Relationship Id="rId184" Type="http://schemas.openxmlformats.org/officeDocument/2006/relationships/hyperlink" Target="https://v.douyin.com/BHaAiBM_k3w/" TargetMode="External"/><Relationship Id="rId183" Type="http://schemas.openxmlformats.org/officeDocument/2006/relationships/hyperlink" Target="https://www.xingtu.cn/ad/creator/author-homepage/douyin-video/7437412455573094438?market_track_id=OZDXFB6LRY6IARAR1ZJR&amp;search_session_id=7577287979769987108&amp;possessStarId" TargetMode="External"/><Relationship Id="rId182" Type="http://schemas.openxmlformats.org/officeDocument/2006/relationships/hyperlink" Target="https://v.douyin.com/Wd-9v46EwOo/" TargetMode="External"/><Relationship Id="rId181" Type="http://schemas.openxmlformats.org/officeDocument/2006/relationships/hyperlink" Target="https://www.xingtu.cn/ad/creator/author-homepage/douyin-video/7021345477824086023?market_track_id=11PZ14U0SM90UR985ZXZ&amp;search_session_id=7576943175823179812&amp;possessStarId&amp;active_tab=content_performance&amp;active_module=.content-video-list-panel&amp;content_key_word=%E5%A8%9C%E6%89%8E%E5%88%86%E6%B8%A3" TargetMode="External"/><Relationship Id="rId180" Type="http://schemas.openxmlformats.org/officeDocument/2006/relationships/hyperlink" Target="https://v.douyin.com/bwEB4nNFwkw/" TargetMode="External"/><Relationship Id="rId18" Type="http://schemas.openxmlformats.org/officeDocument/2006/relationships/hyperlink" Target="https://v.douyin.com/hQeDxNC/" TargetMode="External"/><Relationship Id="rId179" Type="http://schemas.openxmlformats.org/officeDocument/2006/relationships/hyperlink" Target="https://www.xingtu.cn/ad/creator/author-homepage/douyin-video/7488315869542481958?market_track_id=GN4C1YMKB8J6X9QKJHNN&amp;search_session_id=7576565643592663094&amp;possessStarId" TargetMode="External"/><Relationship Id="rId178" Type="http://schemas.openxmlformats.org/officeDocument/2006/relationships/hyperlink" Target="https://v.douyin.com/wY5EbAVpuV8/" TargetMode="External"/><Relationship Id="rId177" Type="http://schemas.openxmlformats.org/officeDocument/2006/relationships/hyperlink" Target="https://www.xingtu.cn/ad/creator/author-homepage/douyin-video/7547976599398318089?market_track_id=R5DZ8YSWRGDLDFHSKGHK&amp;search_session_id=7572463525462655039&amp;possessStarId" TargetMode="External"/><Relationship Id="rId176" Type="http://schemas.openxmlformats.org/officeDocument/2006/relationships/hyperlink" Target="https://www.xingtu.cn/ad/creator/author-homepage/douyin-video/7515706747558821914?market_track_id=V0L18ORLB0HFDNBMGWSO&amp;search_session_id=7572463472073343017&amp;possessStarId" TargetMode="External"/><Relationship Id="rId175" Type="http://schemas.openxmlformats.org/officeDocument/2006/relationships/hyperlink" Target="https://v.douyin.com/0QUqPDyOiYI/" TargetMode="External"/><Relationship Id="rId174" Type="http://schemas.openxmlformats.org/officeDocument/2006/relationships/hyperlink" Target="https://v.douyin.com/_FIjdu3XHpI/" TargetMode="External"/><Relationship Id="rId173" Type="http://schemas.openxmlformats.org/officeDocument/2006/relationships/hyperlink" Target="https://www.xingtu.cn/ad/creator/author-homepage/douyin-video/7381766949996331017?market_track_id=NEDQY0AMQQDYQN41G8CM&amp;search_session_id=7572463486438735878&amp;possessStarId" TargetMode="External"/><Relationship Id="rId172" Type="http://schemas.openxmlformats.org/officeDocument/2006/relationships/hyperlink" Target="https://v.douyin.com/Fo6zCYRvpPA/" TargetMode="External"/><Relationship Id="rId171" Type="http://schemas.openxmlformats.org/officeDocument/2006/relationships/hyperlink" Target="https://www.xingtu.cn/ad/creator/author-homepage/douyin-video/6716888711335772164?market_track_id=IFYOO8BHE9JNSSK8UBE6&amp;search_session_id=7571704554984472619&amp;possessStarId" TargetMode="External"/><Relationship Id="rId170" Type="http://schemas.openxmlformats.org/officeDocument/2006/relationships/hyperlink" Target="https://v.douyin.com/YnUjViz55N4/" TargetMode="External"/><Relationship Id="rId17" Type="http://schemas.openxmlformats.org/officeDocument/2006/relationships/hyperlink" Target="https://v.douyin.com/rVAPr2p/" TargetMode="External"/><Relationship Id="rId169" Type="http://schemas.openxmlformats.org/officeDocument/2006/relationships/hyperlink" Target="https://www.xingtu.cn/ad/creator/author-homepage/douyin-video/7568817054545412146?market_track_id=98IZH98452SRN4JC5R92&amp;search_session_id=7569069326943715391&amp;possessStarId" TargetMode="External"/><Relationship Id="rId168" Type="http://schemas.openxmlformats.org/officeDocument/2006/relationships/hyperlink" Target="https://v.douyin.com/P9i7l467NEs/" TargetMode="External"/><Relationship Id="rId167" Type="http://schemas.openxmlformats.org/officeDocument/2006/relationships/hyperlink" Target="https://www.xingtu.cn/ad/creator/author-homepage/douyin-video/6881097634480652296?market_track_id=VTJM4Z9RTPETU9VQST4G&amp;search_session_id=7569060253904846889&amp;possessStarId" TargetMode="External"/><Relationship Id="rId166" Type="http://schemas.openxmlformats.org/officeDocument/2006/relationships/hyperlink" Target="https://v.douyin.com/-b2XUM3O2qk/" TargetMode="External"/><Relationship Id="rId165" Type="http://schemas.openxmlformats.org/officeDocument/2006/relationships/hyperlink" Target="https://www.xingtu.cn/ad/creator/author-homepage/douyin-video/7548699303942832174?market_track_id=A1GVOKQQEDPMPOB3NZJQ&amp;search_session_id=7567378003446431795&amp;possessStarId" TargetMode="External"/><Relationship Id="rId164" Type="http://schemas.openxmlformats.org/officeDocument/2006/relationships/hyperlink" Target="https://v.douyin.com/bHqAlsCKcIw/" TargetMode="External"/><Relationship Id="rId163" Type="http://schemas.openxmlformats.org/officeDocument/2006/relationships/hyperlink" Target="https://www.xingtu.cn/ad/creator/author-homepage/douyin-video/7407743938431287347?market_track_id=6VJJY5F6E3FS3YS952O9&amp;search_session_id=7566145823580274730&amp;possessStarId" TargetMode="External"/><Relationship Id="rId162" Type="http://schemas.openxmlformats.org/officeDocument/2006/relationships/hyperlink" Target="https://v.douyin.com/X59bTLxsw30/" TargetMode="External"/><Relationship Id="rId161" Type="http://schemas.openxmlformats.org/officeDocument/2006/relationships/hyperlink" Target="https://www.xingtu.cn/ad/creator/author-homepage/douyin-video/6596679736393465860?market_track_id=APBR2FCN2QFQPX0QSDB3&amp;search_session_id=7565742280636989503&amp;possessStarId" TargetMode="External"/><Relationship Id="rId160" Type="http://schemas.openxmlformats.org/officeDocument/2006/relationships/hyperlink" Target="https://v.douyin.com/91XqThN95LU/" TargetMode="External"/><Relationship Id="rId16" Type="http://schemas.openxmlformats.org/officeDocument/2006/relationships/hyperlink" Target="https://v.douyin.com/rNwDm9W/" TargetMode="External"/><Relationship Id="rId159" Type="http://schemas.openxmlformats.org/officeDocument/2006/relationships/hyperlink" Target="https://www.xingtu.cn/ad/creator/author-homepage/douyin-video/6800827006318542862?market_track_id=WGDIPUY8NR4CR015XCAO&amp;search_session_id=7550217227611275305&amp;possessStarId" TargetMode="External"/><Relationship Id="rId158" Type="http://schemas.openxmlformats.org/officeDocument/2006/relationships/hyperlink" Target="https://v.douyin.com/NYLfLoo/" TargetMode="External"/><Relationship Id="rId157" Type="http://schemas.openxmlformats.org/officeDocument/2006/relationships/hyperlink" Target="https://www.xingtu.cn/ad/creator/author-homepage/douyin-video/7530268826995261481?market_track_id=AFYCHK8E6RNNZI1D3OYX&amp;search_session_id=7560902726126403620&amp;possessStarId" TargetMode="External"/><Relationship Id="rId156" Type="http://schemas.openxmlformats.org/officeDocument/2006/relationships/hyperlink" Target="https://v.douyin.com/YPNJaozIgqY/" TargetMode="External"/><Relationship Id="rId155" Type="http://schemas.openxmlformats.org/officeDocument/2006/relationships/hyperlink" Target="https://v.douyin.com/EYsYmOl35_o/" TargetMode="External"/><Relationship Id="rId154" Type="http://schemas.openxmlformats.org/officeDocument/2006/relationships/hyperlink" Target="https://www.xingtu.cn/ad/creator/author-homepage/douyin-video/6950547741772611621?market_track_id=TNBIOM0X2B5CFEY1M52H&amp;search_session_id=7555809283087810599&amp;possessStarId" TargetMode="External"/><Relationship Id="rId153" Type="http://schemas.openxmlformats.org/officeDocument/2006/relationships/hyperlink" Target="https://www.xingtu.cn/ad/creator/author-homepage/douyin-video/6977280720922214431?market_track_id=UG67XTJXH7NXPKDVOMTP&amp;search_session_id=7550213941088239658&amp;possessStarId" TargetMode="External"/><Relationship Id="rId152" Type="http://schemas.openxmlformats.org/officeDocument/2006/relationships/hyperlink" Target="https://www.xingtu.cn/ad/creator/author-homepage/douyin-video/6859218264526962702?market_track_id=ESWOJZ4LL2IDD4QEYDFT&amp;search_session_id=7550213757390864438&amp;possessStarId" TargetMode="External"/><Relationship Id="rId151" Type="http://schemas.openxmlformats.org/officeDocument/2006/relationships/hyperlink" Target="https://v.douyin.com/FmolR1KJook/" TargetMode="External"/><Relationship Id="rId150" Type="http://schemas.openxmlformats.org/officeDocument/2006/relationships/hyperlink" Target="https://v.douyin.com/eXcXMuA/" TargetMode="External"/><Relationship Id="rId15" Type="http://schemas.openxmlformats.org/officeDocument/2006/relationships/hyperlink" Target="https://v.douyin.com/jw6LBUB/" TargetMode="External"/><Relationship Id="rId149" Type="http://schemas.openxmlformats.org/officeDocument/2006/relationships/hyperlink" Target="https://www.xingtu.cn/ad/creator/author-homepage/douyin-video/6870160411379892231?market_track_id=Q5M20T2PEK2M1R5YASOU&amp;search_session_id=7550219414239985705&amp;possessStarId" TargetMode="External"/><Relationship Id="rId148" Type="http://schemas.openxmlformats.org/officeDocument/2006/relationships/hyperlink" Target="https://v.douyin.com/eNCSeHH/" TargetMode="External"/><Relationship Id="rId147" Type="http://schemas.openxmlformats.org/officeDocument/2006/relationships/hyperlink" Target="https://www.xingtu.cn/ad/creator/author-homepage/douyin-video/6729824086039461891?market_track_id=MR96FF0YLNLMW3T5JZGY&amp;search_session_id=7506415498557505577&amp;video_type=2&amp;_route_from=from_page%3DMarket%26search_session_id%3D7506415498557505577%26is_for_order%3D1%26market_track_id%3DMR96FF0YLNLMW3T5JZGY%26platform_source%3D1%26key%3D%25E7%259A%25AE%25E5%258D%25A1%25E7%2599%25BD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146" Type="http://schemas.openxmlformats.org/officeDocument/2006/relationships/hyperlink" Target="https://v.douyin.com/YVnZ2nB_6tQ/ 9@0.com" TargetMode="External"/><Relationship Id="rId145" Type="http://schemas.openxmlformats.org/officeDocument/2006/relationships/hyperlink" Target="https://www.xingtu.cn/ad/creator/author-homepage/douyin-video/7218220304135356471?market_track_id=T1HSWBAEXMH98GSH6MPV&amp;search_session_id=7550226290448875556&amp;possessStarId" TargetMode="External"/><Relationship Id="rId144" Type="http://schemas.openxmlformats.org/officeDocument/2006/relationships/hyperlink" Target="https://v.douyin.com/l9yMFgFF4Ic/" TargetMode="External"/><Relationship Id="rId143" Type="http://schemas.openxmlformats.org/officeDocument/2006/relationships/hyperlink" Target="https://www.xingtu.cn/ad/creator/author-homepage/douyin-video/6870112225344880653?market_track_id=MR61YKQACBEHR44TKR7E&amp;search_session_id=7533159252346241078&amp;possessStarId" TargetMode="External"/><Relationship Id="rId142" Type="http://schemas.openxmlformats.org/officeDocument/2006/relationships/hyperlink" Target="https://v.douyin.com/em3sFvS6LMA/" TargetMode="External"/><Relationship Id="rId141" Type="http://schemas.openxmlformats.org/officeDocument/2006/relationships/hyperlink" Target="https://www.xingtu.cn/ad/creator/author-homepage/douyin-video/6629722298792280068?market_track_id=ALE4EJ3WE9UOCFVX4NC4&amp;search_session_id=7532380290833645604&amp;possessStarId" TargetMode="External"/><Relationship Id="rId140" Type="http://schemas.openxmlformats.org/officeDocument/2006/relationships/hyperlink" Target="https://v.douyin.com/9AFkA0NTkFQ/" TargetMode="External"/><Relationship Id="rId14" Type="http://schemas.openxmlformats.org/officeDocument/2006/relationships/hyperlink" Target="https://v.douyin.com/YSFB7Vh/" TargetMode="External"/><Relationship Id="rId139" Type="http://schemas.openxmlformats.org/officeDocument/2006/relationships/hyperlink" Target="https://v.douyin.com/Y_T6k4YZ1jA/" TargetMode="External"/><Relationship Id="rId138" Type="http://schemas.openxmlformats.org/officeDocument/2006/relationships/hyperlink" Target="https://www.xingtu.cn/ad/creator/author-homepage/douyin-video/7212165981076979770?market_track_id=C1YWJOJOH7GWYM2BJIBX&amp;search_session_id=7532374389598191658&amp;possessStarId" TargetMode="External"/><Relationship Id="rId137" Type="http://schemas.openxmlformats.org/officeDocument/2006/relationships/hyperlink" Target="https://www.xingtu.cn/ad/creator/author-homepage/douyin-video/6870160334506688526?market_track_id=ALUPYOHU2Q7WIQNY7CS6&amp;search_session_id=7529771916695224339&amp;possessStarId" TargetMode="External"/><Relationship Id="rId136" Type="http://schemas.openxmlformats.org/officeDocument/2006/relationships/hyperlink" Target="https://v.douyin.com/NfM4H3xVgqI/ 0@0.com" TargetMode="External"/><Relationship Id="rId135" Type="http://schemas.openxmlformats.org/officeDocument/2006/relationships/hyperlink" Target="https://www.xingtu.cn/ad/creator/author-homepage/douyin-video/6763255021673906180?market_track_id=0K7127XRBJCSUN1J1ML6&amp;search_session_id=7506419638394306579&amp;video_type=2&amp;_route_from=from_page%3DMarket%26search_session_id%3D7506419638394306579%26is_for_order%3D1%26market_track_id%3D0K7127XRBJCSUN1J1ML6%26platform_source%3D1%26key%3D%25E6%25B8%2585%25E5%25A6%258D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4" Type="http://schemas.openxmlformats.org/officeDocument/2006/relationships/hyperlink" Target="https://www.xingtu.cn/ad/creator/author-homepage/douyin-video/7090145395988234255?market_track_id=CXX0T8PZX6VKRWU7FPCC&amp;search_session_id=7506419877101191179&amp;video_type=2&amp;_route_from=from_page%3DMarket%26search_session_id%3D7506419877101191179%26is_for_order%3D1%26market_track_id%3DCXX0T8PZX6VKRWU7FPCC%26platform_source%3D1%26key%3D%25E7%25BB%25B4%25E5%25A6%25AE%25E5%2584%25BFDance%25F0%259F%2591%25A3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3" Type="http://schemas.openxmlformats.org/officeDocument/2006/relationships/hyperlink" Target="https://www.xingtu.cn/ad/creator/author-homepage/douyin-video/7351730252281806858?market_track_id=Q8KVA6MSVYLYCDFMCC1Q&amp;search_session_id=7506420302496841769&amp;video_type=2&amp;_route_from=from_page%3DMarket%26search_session_id%3D7506420302496841769%26is_for_order%3D1%26market_track_id%3DQ8KVA6MSVYLYCDFMCC1Q%26platform_source%3D1%26key%3D%25E5%259B%259B%25E4%25B9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2" Type="http://schemas.openxmlformats.org/officeDocument/2006/relationships/hyperlink" Target="https://www.xingtu.cn/ad/creator/author-homepage/douyin-video/7301232242683019273?market_track_id=AX2QE06W2PAHS8LH1D0I&amp;search_session_id=7506420191522275339&amp;video_type=2&amp;_route_from=from_page%3DMarket%26search_session_id%3D7506420191522275339%26is_for_order%3D1%26market_track_id%3DAX2QE06W2PAHS8LH1D0I%26platform_source%3D1%26key%3D%25E5%25AE%259B%25E5%25BA%25A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1" Type="http://schemas.openxmlformats.org/officeDocument/2006/relationships/hyperlink" Target="https://www.xingtu.cn/ad/creator/author-homepage/douyin-video/7129889869039403015?market_track_id=14V3MPWQNE99BRC2Y8PU&amp;search_session_id=7506420126619566091&amp;video_type=2&amp;_route_from=from_page%3DMarket%26search_session_id%3D7506420126619566091%26is_for_order%3D1%26market_track_id%3D14V3MPWQNE99BRC2Y8PU%26platform_source%3D1%26key%3D%25E8%258A%25B1%25E5%258D%2583%25E5%25B0%258F%25E9%25AA%25A8%25E2%2581%25B8%25C2%25B2%25C2%25B9%25F0%259F%2595%258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0" Type="http://schemas.openxmlformats.org/officeDocument/2006/relationships/hyperlink" Target="https://www.xingtu.cn/ad/creator/author-homepage/douyin-video/7348369428595081226?market_track_id=XGEHLZ9CA9OLF261XFQT&amp;search_session_id=7506420067140108299&amp;video_type=2&amp;_route_from=from_page%3DMarket%26search_session_id%3D7506420067140108299%26is_for_order%3D1%26market_track_id%3DXGEHLZ9CA9OLF261XFQT%26platform_source%3D1%26key%3D%25E5%25BC%25A0%25E5%25A5%25BD%25E5%25A5%25BD%25E7%2588%25B1%25E5%2590%2583%25E9%25B1%25BC%25F0%259F%2590%25A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" Type="http://schemas.openxmlformats.org/officeDocument/2006/relationships/hyperlink" Target="https://v.douyin.com/RLPXyXk/" TargetMode="External"/><Relationship Id="rId129" Type="http://schemas.openxmlformats.org/officeDocument/2006/relationships/hyperlink" Target="https://www.xingtu.cn/ad/creator/author-homepage/douyin-video/6596679993906954254?market_track_id=RHX9N8IZ5BDH2B8GR5YR&amp;search_session_id=7506419773791240255&amp;video_type=2&amp;_route_from=from_page%3DMarket%26search_session_id%3D7506419773791240255%26is_for_order%3D1%26market_track_id%3DRHX9N8IZ5BDH2B8GR5YR%26platform_source%3D1%26key%3D%25E5%25A4%259A%25E5%258A%25A0%25E7%2582%25B9DuoD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8" Type="http://schemas.openxmlformats.org/officeDocument/2006/relationships/hyperlink" Target="https://www.xingtu.cn/ad/creator/author-homepage/douyin-video/7179569792829882426?market_track_id=2FOXOWJPSJT5SZW6D330&amp;search_session_id=7506428934028836900&amp;video_type=2&amp;_route_from=from_page%3DMarket%26search_session_id%3D7506428934028836900%26is_for_order%3D1%26market_track_id%3D2FOXOWJPSJT5SZW6D330%26platform_source%3D1%26key%3D%25E5%25B0%258F%25E9%259B%25AA%25E6%2597%25A5%25E8%25AE%25B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7" Type="http://schemas.openxmlformats.org/officeDocument/2006/relationships/hyperlink" Target="https://www.xingtu.cn/ad/creator/author-homepage/douyin-video/6870167809498808333?market_track_id=5JHIEM8JD0YPO75OONSK&amp;search_session_id=7506428303101018153&amp;video_type=2&amp;_route_from=from_page%3DMarket%26search_session_id%3D7506428303101018153%26is_for_order%3D1%26market_track_id%3D5JHIEM8JD0YPO75OONSK%26platform_source%3D1%26key%3D%25E5%25B0%258F%25E7%25A8%258B%25E4%25B8%258D%25E6%2598%25AF%25E5%25B0%258F%25E9%2599%2588%25E4%25B9%259F%25E4%25B8%258D%25E6%2598%25AF%25E5%25B0%258F%25E6%2588%259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6" Type="http://schemas.openxmlformats.org/officeDocument/2006/relationships/hyperlink" Target="https://www.xingtu.cn/ad/creator/author-homepage/douyin-video/6846209317889114120?market_track_id=58IHQXH5X0IERITR1FXA&amp;search_session_id=7506428168321531915&amp;video_type=2&amp;_route_from=from_page%3DMarket%26search_session_id%3D7506428168321531915%26is_for_order%3D1%26market_track_id%3D58IHQXH5X0IERITR1FXA%26platform_source%3D1%26key%3D%25E5%2588%2598%25E8%25B4%25BA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5" Type="http://schemas.openxmlformats.org/officeDocument/2006/relationships/hyperlink" Target="https://www.xingtu.cn/ad/creator/author-homepage/douyin-video/6629127088207036430?market_track_id=HQ30STQYALVLETP50BBJ&amp;search_session_id=7506428133824708671&amp;video_type=2&amp;_route_from=from_page%3DMarket%26search_session_id%3D7506428133824708671%26is_for_order%3D1%26market_track_id%3DHQ30STQYALVLETP50BBJ%26platform_source%3D1%26key%3D%25E4%25BA%258C%25E5%2590%258C%25E5%2593%25A5%25E5%2593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4" Type="http://schemas.openxmlformats.org/officeDocument/2006/relationships/hyperlink" Target="https://www.xingtu.cn/ad/creator/author-homepage/douyin-video/6985450122213588999?market_track_id=HAMOFE78QB1VJXO33CNW&amp;search_session_id=7506428100830363687&amp;video_type=2&amp;_route_from=from_page%3DMarket%26search_session_id%3D7506428100830363687%26is_for_order%3D1%26market_track_id%3DHAMOFE78QB1VJXO33CNW%26platform_source%3D1%26key%3D%25E5%25B0%258F%25E6%259E%2597%25E7%25B6%25A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3" Type="http://schemas.openxmlformats.org/officeDocument/2006/relationships/hyperlink" Target="https://www.xingtu.cn/ad/creator/author-homepage/douyin-video/6813591753300377613?market_track_id=D1XV4JZ26VN8RR0N5HND&amp;search_session_id=7506427944303657014&amp;video_type=2&amp;_route_from=from_page%3DMarket%26search_session_id%3D7506427944303657014%26is_for_order%3D1%26market_track_id%3DD1XV4JZ26VN8RR0N5HND%26platform_source%3D1%26key%3D%25E5%25BD%25A6%25E5%2584%25BF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2" Type="http://schemas.openxmlformats.org/officeDocument/2006/relationships/hyperlink" Target="https://www.xingtu.cn/ad/creator/author-homepage/douyin-video/6793284681224683534?market_track_id=WYYKHUE391R399LR5PQC&amp;search_session_id=7506425929252306956&amp;video_type=2&amp;_route_from=from_page%3DMarket%26search_session_id%3D7506425929252306956%26is_for_order%3D1%26market_track_id%3DWYYKHUE391R399LR5PQC%26platform_source%3D1%26key%3D%25E6%25B4%259B%25E4%25B8%25BD%25E5%25A1%2594%25E5%25A4%25A7%25E5%2593%25A5lolit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1" Type="http://schemas.openxmlformats.org/officeDocument/2006/relationships/hyperlink" Target="https://www.xingtu.cn/ad/creator/author-homepage/douyin-video/6834011991800021005?market_track_id=SR3ZC29RTTZ0ZEBUVE23&amp;search_session_id=7506425026557263911&amp;video_type=2&amp;_route_from=from_page%3DMarket%26search_session_id%3D7506425026557263911%26is_for_order%3D1%26market_track_id%3DSR3ZC29RTTZ0ZEBUVE23%26platform_source%3D1%26key%3D%25E5%25BE%2590%25E5%258D%2581%25E4%25B8%2583%25E5%2598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0" Type="http://schemas.openxmlformats.org/officeDocument/2006/relationships/hyperlink" Target="https://www.xingtu.cn/ad/creator/author-homepage/douyin-video/6629661185576796164?market_track_id=E1N10QJIKJYZ2OX6B4WC&amp;search_session_id=7506425026556870695&amp;video_type=2&amp;_route_from=from_page%3DMarket%26search_session_id%3D7506425026556870695%26is_for_order%3D1%26market_track_id%3DE1N10QJIKJYZ2OX6B4WC%26platform_source%3D1%26key%3D%25E6%25A3%259A%25E6%25A3%259A%25E6%259C%25B1%25E5%258F%25A4%25E5%258A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" Type="http://schemas.openxmlformats.org/officeDocument/2006/relationships/hyperlink" Target="https://v.douyin.com/En7thx/" TargetMode="External"/><Relationship Id="rId119" Type="http://schemas.openxmlformats.org/officeDocument/2006/relationships/hyperlink" Target="https://www.xingtu.cn/ad/creator/author-homepage/douyin-video/6629665882937229325?market_track_id=ADFREOQU9K4XJ1E1ZMOD&amp;search_session_id=7506424794557890599&amp;video_type=2&amp;_route_from=from_page%3DMarket%26search_session_id%3D7506424794557890599%26is_for_order%3D1%26market_track_id%3DADFREOQU9K4XJ1E1ZMOD%26platform_source%3D1%26key%3D%25E5%258C%2597%25E6%2596%25B9%25E5%25A7%2591%25E5%25A8%2598%25EF%25BC%2588%25E7%25B3%2596%25E7%25B3%2596%25EF%25BC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8" Type="http://schemas.openxmlformats.org/officeDocument/2006/relationships/hyperlink" Target="https://www.xingtu.cn/ad/creator/author-homepage/douyin-video/6808450102416375815?market_track_id=DN5LLR9P9Q9B1MGJYRAO&amp;search_session_id=7506424596179763254&amp;video_type=2&amp;_route_from=from_page%3DMarket%26search_session_id%3D7506424596179763254%26is_for_order%3D1%26market_track_id%3DDN5LLR9P9Q9B1MGJYRAO%26platform_source%3D1%26key%3D%25E8%25B0%25A2%25E6%25BD%2587%25E7%25BE%25BDx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7" Type="http://schemas.openxmlformats.org/officeDocument/2006/relationships/hyperlink" Target="https://www.xingtu.cn/ad/creator/author-homepage/douyin-video/6805457493347549198?market_track_id=ABWG93TWKLXV69FMO8CQ&amp;search_session_id=7506424543515459638&amp;video_type=2&amp;_route_from=from_page%3DMarket%26search_session_id%3D7506424543515459638%26is_for_order%3D1%26market_track_id%3DABWG93TWKLXV69FMO8CQ%26platform_source%3D1%26key%3D%25E8%25B5%259B%25E7%25BD%2597%25E7%259A%2584%25E5%25AE%259D%25E8%25B4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6" Type="http://schemas.openxmlformats.org/officeDocument/2006/relationships/hyperlink" Target="https://www.xingtu.cn/ad/creator/author-homepage/douyin-video/6733529818639368206?market_track_id=WRTIL1B1HTNDE90QY48O&amp;search_session_id=7506424351446384681&amp;video_type=2&amp;_route_from=from_page%3DMarket%26search_session_id%3D7506424351446384681%26is_for_order%3D1%26market_track_id%3DWRTIL1B1HTNDE90QY48O%26platform_source%3D1%26key%3D%25E6%2599%25A8%25E6%2599%2593%25E4%25B9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5" Type="http://schemas.openxmlformats.org/officeDocument/2006/relationships/hyperlink" Target="https://www.xingtu.cn/ad/creator/author-homepage/douyin-video/6602513255774552072?market_track_id=PTF8N8NPVNQT7WK3HW8Y&amp;search_session_id=7506424333159333907&amp;video_type=2&amp;_route_from=from_page%3DMarket%26search_session_id%3D7506424333159333907%26is_for_order%3D1%26market_track_id%3DPTF8N8NPVNQT7WK3HW8Y%26platform_source%3D1%26key%3D%25E4%25B8%2589%25E5%258D%2583%25E4%25BC%2581%25E9%25B9%258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4" Type="http://schemas.openxmlformats.org/officeDocument/2006/relationships/hyperlink" Target="https://www.xingtu.cn/ad/creator/author-homepage/douyin-video/7313479684807720997?market_track_id=ALH7D0J6JFUEFDK6KAID&amp;search_session_id=7506424265248751679&amp;video_type=2&amp;_route_from=from_page%3DMarket%26search_session_id%3D7506424265248751679%26is_for_order%3D1%26market_track_id%3DALH7D0J6JFUEFDK6KAID%26platform_source%3D1%26key%3D%25E4%25B8%2580%25E4%25B8%25AA%25E5%25B9%25BD%25E7%2581%25B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3" Type="http://schemas.openxmlformats.org/officeDocument/2006/relationships/hyperlink" Target="https://www.xingtu.cn/ad/creator/author-homepage/douyin-video/7054120952338055205?market_track_id=FKDIAR06NAK77FX5SDBW&amp;search_session_id=7506424158482841612&amp;video_type=2&amp;_route_from=from_page%3DMarket%26search_session_id%3D7506424158482841612%26is_for_order%3D1%26market_track_id%3DFKDIAR06NAK77FX5SDBW%26platform_source%3D1%26key%3D%25E4%25B8%2580%25E6%25A0%25B9%25E8%2597%25A4%25E4%25B8%258A%25E4%25BA%2594%25E6%259C%25B5%25E8%258A%25B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2" Type="http://schemas.openxmlformats.org/officeDocument/2006/relationships/hyperlink" Target="https://www.xingtu.cn/ad/creator/author-homepage/douyin-video/6843212354792980493?market_track_id=RG69PPQ1KDPGXJYV1UTS&amp;search_session_id=7506421678910603318&amp;video_type=2&amp;_route_from=from_page%3DMarket%26search_session_id%3D7506421678910603318%26is_for_order%3D1%26market_track_id%3DRG69PPQ1KDPGXJYV1UTS%26platform_source%3D1%26key%3D%25E4%25B9%259D%25E4%25B9%259D%25E6%2588%2591%25E5%2595%258A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1" Type="http://schemas.openxmlformats.org/officeDocument/2006/relationships/hyperlink" Target="https://www.xingtu.cn/ad/creator/author-homepage/douyin-video/6818363824530259981?market_track_id=GAK8PLETEK3HVV75L1IZ&amp;search_session_id=7506421950762696715&amp;video_type=2&amp;_route_from=from_page%3DMarket%26search_session_id%3D7506421950762696715%26is_for_order%3D1%26market_track_id%3DGAK8PLETEK3HVV75L1IZ%26platform_source%3D1%26key%3D%25E4%25BE%25AF%25E5%258D%259A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0" Type="http://schemas.openxmlformats.org/officeDocument/2006/relationships/hyperlink" Target="https://www.xingtu.cn/ad/creator/author-homepage/douyin-video/6765376911481765895?market_track_id=1KKSMRVM7CQC1GZEHIJS&amp;search_session_id=7506421245673291830&amp;video_type=2&amp;_route_from=from_page%3DMarket%26search_session_id%3D7506421245673291830%26is_for_order%3D1%26market_track_id%3D1KKSMRVM7CQC1GZEHIJS%26platform_source%3D1%26key%3D%25E6%2588%2591%25E6%2598%25AF%25E5%25B0%258F%25E7%25A8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" Type="http://schemas.openxmlformats.org/officeDocument/2006/relationships/hyperlink" Target="https://v.douyin.com/evchkkA/" TargetMode="External"/><Relationship Id="rId109" Type="http://schemas.openxmlformats.org/officeDocument/2006/relationships/hyperlink" Target="https://www.xingtu.cn/ad/creator/author-homepage/douyin-video/7180709870071447609?market_track_id=PIEB08Z2JMFWPHSRFLIW&amp;search_session_id=7506421047202578443&amp;video_type=2&amp;_route_from=from_page%3DMarket%26search_session_id%3D7506421047202578443%26is_for_order%3D1%26market_track_id%3DPIEB08Z2JMFWPHSRFLIW%26platform_source%3D1%26key%3D%25E5%25BC%25A0%25E8%258B%25A5%25E5%25A5%25B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8" Type="http://schemas.openxmlformats.org/officeDocument/2006/relationships/hyperlink" Target="https://www.xingtu.cn/ad/creator/author-homepage/douyin-video/6629660072450457603?market_track_id=JME3Y2ESKQDD9EPJYTQN&amp;search_session_id=7506420419478552587&amp;video_type=2&amp;_route_from=from_page%3DMarket%26search_session_id%3D7506420419478552587%26is_for_order%3D1%26market_track_id%3DJME3Y2ESKQDD9EPJYTQN%26platform_source%3D1%26key%3D%25E5%25BC%25A0%25E4%25BB%2580%25E4%25BB%258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7" Type="http://schemas.openxmlformats.org/officeDocument/2006/relationships/hyperlink" Target="https://www.xingtu.cn/ad/creator/author-homepage/douyin-video/7060481079546740749?market_track_id=2WEXY9CC3S5R884QCM1F&amp;search_session_id=7506420928160284711&amp;video_type=2&amp;_route_from=from_page%3DMarket%26search_session_id%3D7506420928160284711%26is_for_order%3D1%26market_track_id%3D2WEXY9CC3S5R884QCM1F%26platform_source%3D1%26key%3D%25E9%2587%2591%25E9%2599%25B5%25E5%25A5%2587%25E6%2580%25AA%25E7%259A%2584%25E7%2583%25A7%25E9%25A5%25B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6" Type="http://schemas.openxmlformats.org/officeDocument/2006/relationships/hyperlink" Target="https://www.xingtu.cn/ad/creator/author-homepage/douyin-video/6870159990577954824?market_track_id=T8BAMZBOBD6Z18OE3R93&amp;search_session_id=7506431138102444051&amp;video_type=2&amp;_route_from=from_page%3DMarket%26search_session_id%3D7506431138102444051%26is_for_order%3D1%26market_track_id%3DT8BAMZBOBD6Z18OE3R93%26platform_source%3D1%26key%3D%25E5%25A6%258D%25E7%2594%2584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5" Type="http://schemas.openxmlformats.org/officeDocument/2006/relationships/hyperlink" Target="https://www.xingtu.cn/ad/creator/author-homepage/douyin-video/7488959372198936602?market_track_id=VWMFFQNDTW0BCBDHKNN4&amp;search_session_id=7506431099029028876&amp;video_type=2&amp;_route_from=from_page%3DMarket%26search_session_id%3D7506431099029028876%26is_for_order%3D1%26market_track_id%3DVWMFFQNDTW0BCBDHKNN4%26platform_source%3D1%26key%3D%25E5%25B0%258F%25E8%2592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4" Type="http://schemas.openxmlformats.org/officeDocument/2006/relationships/hyperlink" Target="https://www.xingtu.cn/ad/creator/author-homepage/douyin-video/6870161289092530183?market_track_id=QPV4PC1JHVHA8GSUK8Z0&amp;search_session_id=7506430889400893459&amp;video_type=2&amp;_route_from=from_page%3DMarket%26search_session_id%3D7506430889400893459%26is_for_order%3D1%26market_track_id%3DQPV4PC1JHVHA8GSUK8Z0%26platform_source%3D1%26key%3D%25E6%2595%25A2%25E6%2595%25A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3" Type="http://schemas.openxmlformats.org/officeDocument/2006/relationships/hyperlink" Target="https://www.xingtu.cn/ad/creator/author-homepage/douyin-video/6611303266019966990?market_track_id=YZBLXF6ASWYQTM5LXYSG&amp;search_session_id=7506430525411033127&amp;video_type=2&amp;_route_from=from_page%3DMarket%26search_session_id%3D7506430525411033127%26is_for_order%3D1%26market_track_id%3DYZBLXF6ASWYQTM5LXYSG%26platform_source%3D1%26key%3D%25E5%25B0%258F%25E5%259B%259B%25E5%259B%259B%25F0%259F%258D%259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2" Type="http://schemas.openxmlformats.org/officeDocument/2006/relationships/hyperlink" Target="https://www.xingtu.cn/ad/creator/author-homepage/douyin-video/6870166999796809741?market_track_id=P73HQ4QJ099QMC8KICTS&amp;search_session_id=7506430366560682038&amp;video_type=2&amp;_route_from=from_page%3DMarket%26search_session_id%3D7506430366560682038%26is_for_order%3D1%26market_track_id%3DP73HQ4QJ099QMC8KICTS%26platform_source%3D1%26key%3D%25E8%258E%25AB%25E5%25BE%2597%25E6%2584%259F%25E6%2583%2585%25E7%259A%2584%25E5%25B0%258F%25E8%2591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1" Type="http://schemas.openxmlformats.org/officeDocument/2006/relationships/hyperlink" Target="https://www.xingtu.cn/ad/creator/author-homepage/douyin-video/6870170834816729101?market_track_id=SXJQ9HB0BYQ19L881TOF&amp;search_session_id=7506429719941808191&amp;video_type=2&amp;_route_from=from_page%3DMarket%26search_session_id%3D7506429719941808191%26is_for_order%3D1%26market_track_id%3DSXJQ9HB0BYQ19L881TOF%26platform_source%3D1%26key%3D%25E5%258C%2597%25E9%25BC%25BB%25E5%25B0%258F%25E5%25A4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0" Type="http://schemas.openxmlformats.org/officeDocument/2006/relationships/hyperlink" Target="https://www.xingtu.cn/ad/creator/author-homepage/douyin-video/6942543953501618190?market_track_id=QX6ICE89U286JW02WLSZ&amp;search_session_id=7506429594061242407&amp;video_type=2&amp;_route_from=from_page%3DMarket%26search_session_id%3D7506429594061242407%26is_for_order%3D1%26market_track_id%3DQX6ICE89U286JW02WLSZ%26platform_source%3D1%26key%3D%25E4%25BF%259D%25E7%2590%25B3%25E7%2590%2583%25E6%259C%2589%25E7%2582%25B9%25E8%2583%259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" Type="http://schemas.openxmlformats.org/officeDocument/2006/relationships/hyperlink" Target="https://v.douyin.com/qAah9R/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s://v.douyin.com/iJsMgCaF/" TargetMode="External"/><Relationship Id="rId8" Type="http://schemas.openxmlformats.org/officeDocument/2006/relationships/hyperlink" Target="https://v.douyin.com/6nnu3ep/" TargetMode="External"/><Relationship Id="rId7" Type="http://schemas.openxmlformats.org/officeDocument/2006/relationships/hyperlink" Target="https://v.douyin.com/F52xKBj/" TargetMode="External"/><Relationship Id="rId6" Type="http://schemas.openxmlformats.org/officeDocument/2006/relationships/hyperlink" Target="https://v.douyin.com/6QeCELJ/" TargetMode="External"/><Relationship Id="rId5" Type="http://schemas.openxmlformats.org/officeDocument/2006/relationships/hyperlink" Target="https://v.douyin.com/M3CUn1t/" TargetMode="External"/><Relationship Id="rId4" Type="http://schemas.openxmlformats.org/officeDocument/2006/relationships/hyperlink" Target="https://v.douyin.com/Jn8Fe8S/" TargetMode="External"/><Relationship Id="rId3" Type="http://schemas.openxmlformats.org/officeDocument/2006/relationships/hyperlink" Target="https://v.douyin.com/eYqMACg/" TargetMode="External"/><Relationship Id="rId25" Type="http://schemas.openxmlformats.org/officeDocument/2006/relationships/hyperlink" Target="https://v.douyin.com/iM2BnUWc/" TargetMode="External"/><Relationship Id="rId24" Type="http://schemas.openxmlformats.org/officeDocument/2006/relationships/hyperlink" Target="https://v.douyin.com/i5WxXkUV/" TargetMode="External"/><Relationship Id="rId23" Type="http://schemas.openxmlformats.org/officeDocument/2006/relationships/hyperlink" Target="https://v.douyin.com/b6GOMqiezVg/" TargetMode="External"/><Relationship Id="rId22" Type="http://schemas.openxmlformats.org/officeDocument/2006/relationships/hyperlink" Target="https://v.douyin.com/Rxq1VX9/" TargetMode="External"/><Relationship Id="rId21" Type="http://schemas.openxmlformats.org/officeDocument/2006/relationships/hyperlink" Target="https://v.douyin.com/8fK-mzMbqx4/ 9@3.com" TargetMode="External"/><Relationship Id="rId20" Type="http://schemas.openxmlformats.org/officeDocument/2006/relationships/hyperlink" Target="https://v.douyin.com/vG6xXKcEm1M/" TargetMode="External"/><Relationship Id="rId2" Type="http://schemas.openxmlformats.org/officeDocument/2006/relationships/hyperlink" Target="https://v.douyin.com/LWd4PfQ/" TargetMode="External"/><Relationship Id="rId19" Type="http://schemas.openxmlformats.org/officeDocument/2006/relationships/hyperlink" Target="https://v.douyin.com/qtWVvJiFOXw/" TargetMode="External"/><Relationship Id="rId18" Type="http://schemas.openxmlformats.org/officeDocument/2006/relationships/hyperlink" Target="https://v.douyin.com/bmOwXBxZVL0/" TargetMode="External"/><Relationship Id="rId17" Type="http://schemas.openxmlformats.org/officeDocument/2006/relationships/hyperlink" Target="https://v.douyin.com/iR6RY8xk/" TargetMode="External"/><Relationship Id="rId16" Type="http://schemas.openxmlformats.org/officeDocument/2006/relationships/hyperlink" Target="https://v.douyin.com/iSkaX3wK/ 7@4.com" TargetMode="External"/><Relationship Id="rId15" Type="http://schemas.openxmlformats.org/officeDocument/2006/relationships/hyperlink" Target="https://v.douyin.com/iMnTEUEQ/ 5" TargetMode="External"/><Relationship Id="rId14" Type="http://schemas.openxmlformats.org/officeDocument/2006/relationships/hyperlink" Target="https://v.douyin.com/eVfJN5H/" TargetMode="External"/><Relationship Id="rId13" Type="http://schemas.openxmlformats.org/officeDocument/2006/relationships/hyperlink" Target="https://v.douyin.com/eVyoRpH/" TargetMode="External"/><Relationship Id="rId12" Type="http://schemas.openxmlformats.org/officeDocument/2006/relationships/hyperlink" Target="https://v.douyin.com/EoRCNC/" TargetMode="External"/><Relationship Id="rId11" Type="http://schemas.openxmlformats.org/officeDocument/2006/relationships/hyperlink" Target="https://v.douyin.com/A8oV6Rg/" TargetMode="External"/><Relationship Id="rId10" Type="http://schemas.openxmlformats.org/officeDocument/2006/relationships/hyperlink" Target="https://v.douyin.com/ie2bqhFJ/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9" Type="http://schemas.openxmlformats.org/officeDocument/2006/relationships/hyperlink" Target="https://xhslink.com/m/9bw3tqf40tn" TargetMode="External"/><Relationship Id="rId98" Type="http://schemas.openxmlformats.org/officeDocument/2006/relationships/hyperlink" Target="https://www.xiaohongshu.com/user/profile/5abb4021e8ac2b7f7e18a76c" TargetMode="External"/><Relationship Id="rId97" Type="http://schemas.openxmlformats.org/officeDocument/2006/relationships/hyperlink" Target="https://pgy.xiaohongshu.com/solar/pre-trade/blogger-detail/5abb4021e8ac2b7f7e18a76c?track_id=kolSearch_91b40460324143b6abd7c0914a1118ed&amp;source=Advertiser_Kol" TargetMode="External"/><Relationship Id="rId96" Type="http://schemas.openxmlformats.org/officeDocument/2006/relationships/hyperlink" Target="https://pgy.xiaohongshu.com/solar/pre-trade/blogger-detail/664b850500000000070048eb?track_id=" TargetMode="External"/><Relationship Id="rId95" Type="http://schemas.openxmlformats.org/officeDocument/2006/relationships/hyperlink" Target="https://www.xiaohongshu.com/user/profile/664b850500000000070048eb" TargetMode="External"/><Relationship Id="rId94" Type="http://schemas.openxmlformats.org/officeDocument/2006/relationships/hyperlink" Target="https://pgy.xiaohongshu.com/solar/pre-trade/blogger-detail/5f685cfe0000000001007dcb?track_id=" TargetMode="External"/><Relationship Id="rId93" Type="http://schemas.openxmlformats.org/officeDocument/2006/relationships/hyperlink" Target="https://www.xiaohongshu.com/user/profile/5f685cfe0000000001007dcb" TargetMode="External"/><Relationship Id="rId92" Type="http://schemas.openxmlformats.org/officeDocument/2006/relationships/hyperlink" Target="https://pgy.xiaohongshu.com/solar/pre-trade/blogger-detail/5988a08250c4b438e2221e0d?track_id=kolSearch_968f0410d7154a91a274acdd686dea65&amp;source=Advertiser_Kol" TargetMode="External"/><Relationship Id="rId91" Type="http://schemas.openxmlformats.org/officeDocument/2006/relationships/hyperlink" Target="https://www.xiaohongshu.com/user/profile/5988a08250c4b438e2221e0d" TargetMode="External"/><Relationship Id="rId90" Type="http://schemas.openxmlformats.org/officeDocument/2006/relationships/hyperlink" Target="https://pgy.xiaohongshu.com/solar/pre-trade/blogger-detail/63135ed0000000001200e086?track_id=" TargetMode="External"/><Relationship Id="rId9" Type="http://schemas.openxmlformats.org/officeDocument/2006/relationships/hyperlink" Target="https://www.xiaohongshu.com/user/profile/5f2e0669000000000101c68b?language=zh-CN" TargetMode="External"/><Relationship Id="rId89" Type="http://schemas.openxmlformats.org/officeDocument/2006/relationships/hyperlink" Target="https://xhslink.com/m/5UgcvtObNbD" TargetMode="External"/><Relationship Id="rId88" Type="http://schemas.openxmlformats.org/officeDocument/2006/relationships/hyperlink" Target="https://pgy.xiaohongshu.com/solar/pre-trade/blogger-detail/63a6fc520000000027029c8d?track_id=" TargetMode="External"/><Relationship Id="rId87" Type="http://schemas.openxmlformats.org/officeDocument/2006/relationships/hyperlink" Target="https://www.xiaohongshu.com/user/profile/63a6fc520000000027029c8d?xsec_token=YBMKUE5zHWtuVK9CJ4WxAUL4awILuSztcKGMn6ESd9LG0=&amp;xsec_source=app_share&amp;xhsshare=CopyLink&amp;appuid=5f6887c9000000000100b2fc&amp;apptime=1754877284&amp;share_id=af149f03946845b1b5f6d29b9273ef69" TargetMode="External"/><Relationship Id="rId86" Type="http://schemas.openxmlformats.org/officeDocument/2006/relationships/hyperlink" Target="https://www.xiaohongshu.com/user/profile/6178e364000000001f0386d1?xsec_token=YBQJZAZCsBmKOQNdleZn1Y1FWNdUlZCwV0QNxLjb-Lf_U=&amp;xsec_source=app_share&amp;xhsshare=CopyLink&amp;appuid=5f6887c9000000000100b2fc&amp;apptime=1753955757&amp;share_id=b46535965ac34929a7087838894f56ba" TargetMode="External"/><Relationship Id="rId85" Type="http://schemas.openxmlformats.org/officeDocument/2006/relationships/hyperlink" Target="https://pgy.xiaohongshu.com/solar/pre-trade/blogger-detail/5b5d36c7e8ac2b35b1e6213d?track_id=" TargetMode="External"/><Relationship Id="rId84" Type="http://schemas.openxmlformats.org/officeDocument/2006/relationships/hyperlink" Target="https://www.xiaohongshu.com/user/profile/5b5d36c7e8ac2b35b1e6213d?xsec_token=YBEepMIBK0zQl-4EoDBDhFSBp6V1pAbYYDR-B5Msn_vVA=&amp;xsec_source=app_share&amp;xhsshare=CopyLink&amp;appuid=5f6887c9000000000100b2fc&amp;apptime=1752820243&amp;share_id=cdd7a7183a7d41f289decdc3a8373b29" TargetMode="External"/><Relationship Id="rId83" Type="http://schemas.openxmlformats.org/officeDocument/2006/relationships/hyperlink" Target="https://pgy.xiaohongshu.com/solar/pre-trade/blogger-detail/5c45ebaa000000001200329e?track_id=kolSearch_9d9ee6e9b8ba4d7388a1ed4c03d910d5&amp;source=Advertiser_Kol" TargetMode="External"/><Relationship Id="rId82" Type="http://schemas.openxmlformats.org/officeDocument/2006/relationships/hyperlink" Target="https://www.xiaohongshu.com/user/profile/5c45ebaa000000001200329e?xsec_token=YBsiOG2ebavLhZJW98-L4nmYd90amYoH0Q5uj6ZIlEbrc=&amp;xsec_source=app_share&amp;xhsshare=CopyLink&amp;appuid=5f6887c9000000000100b2fc&amp;apptime=1750659247&amp;share_id=b27eb940d3854fa088e551b6f711bc1e" TargetMode="External"/><Relationship Id="rId81" Type="http://schemas.openxmlformats.org/officeDocument/2006/relationships/hyperlink" Target="https://www.xiaohongshu.com/user/profile/5bb1fa139cb8ac00010e9eb6?xsec_token=YBDUZ4c5dcRd_UcofHvuhGrjkoio2q83NCeGSNsncG5E0=&amp;xsec_source=app_share&amp;xhsshare=CopyLink&amp;appuid=5f6887c9000000000100b2fc&amp;apptime=1741680725&amp;share_id=46d09b047e754326a2f7c6016fc59d94" TargetMode="External"/><Relationship Id="rId80" Type="http://schemas.openxmlformats.org/officeDocument/2006/relationships/hyperlink" Target="https://pgy.xiaohongshu.com/solar/pre-trade/blogger-detail/5bb1fa139cb8ac00010e9eb6?track_id=" TargetMode="External"/><Relationship Id="rId8" Type="http://schemas.openxmlformats.org/officeDocument/2006/relationships/hyperlink" Target="https://www.xiaohongshu.com/user/profile/5f508cb8000000000100baa4?language=zh-CN" TargetMode="External"/><Relationship Id="rId79" Type="http://schemas.openxmlformats.org/officeDocument/2006/relationships/hyperlink" Target="https://pgy.xiaohongshu.com/solar/pre-trade/blogger-detail/61e6675f0000000010009eae?track_id=" TargetMode="External"/><Relationship Id="rId78" Type="http://schemas.openxmlformats.org/officeDocument/2006/relationships/hyperlink" Target="https://pgy.xiaohongshu.com/solar/pre-trade/blogger-detail/58ca16696a6a69748a40c696?track_id=kolSearch_1689b999699e4ce5a4f961b85cdcb912&amp;source=Advertiser_Kol" TargetMode="External"/><Relationship Id="rId77" Type="http://schemas.openxmlformats.org/officeDocument/2006/relationships/hyperlink" Target="https://www.xiaohongshu.com/user/profile/61e6675f0000000010009eae?xsec_token=YB2s8l_V2djyIJyBQa5RhPCuoJYQ7-LXmiZab8AlHuakw=&amp;xsec_source=app_share&amp;xhsshare=CopyLink&amp;appuid=5f6887c9000000000100b2fc&amp;apptime=1739338351&amp;share_id=53ed135c0c7b4467ae6c6c23e888e222" TargetMode="External"/><Relationship Id="rId76" Type="http://schemas.openxmlformats.org/officeDocument/2006/relationships/hyperlink" Target="https://www.xiaohongshu.com/user/profile/58ca16696a6a69748a40c696" TargetMode="External"/><Relationship Id="rId75" Type="http://schemas.openxmlformats.org/officeDocument/2006/relationships/hyperlink" Target="https://pgy.xiaohongshu.com/solar/pre-trade/blogger-detail/5cb427010000000017018af8?track_id=kolSearch_ab957022be6744d494f8577207c844f9&amp;source=Advertiser_Kol" TargetMode="External"/><Relationship Id="rId74" Type="http://schemas.openxmlformats.org/officeDocument/2006/relationships/hyperlink" Target="https://pgy.xiaohongshu.com/solar/pre-trade/blogger-detail/5fd1ec020000000001006b13?track_id=kolSearch_7e9d11a4e305418d8c5f4c52fd234ca4&amp;source=Advertiser_Kol" TargetMode="External"/><Relationship Id="rId73" Type="http://schemas.openxmlformats.org/officeDocument/2006/relationships/hyperlink" Target="https://pgy.xiaohongshu.com/solar/pre-trade/blogger-detail/63246d3a00000000230275e1?track_id=kolSearch_db75c6afaca64d6c96f30897f7874ac9&amp;source=Advertiser_Kol" TargetMode="External"/><Relationship Id="rId72" Type="http://schemas.openxmlformats.org/officeDocument/2006/relationships/hyperlink" Target="https://pgy.xiaohongshu.com/solar/pre-trade/blogger-detail/60ab06f4000000000101f416?track_id=kolSearch_ca875e20646f47188b653093cc06d6ec&amp;source=Advertiser_Kol" TargetMode="External"/><Relationship Id="rId71" Type="http://schemas.openxmlformats.org/officeDocument/2006/relationships/hyperlink" Target="https://pgy.xiaohongshu.com/solar/pre-trade/blogger-detail/5c6836cc0000000011031924?track_id=kolSearch_f4e808acff004094b33d62e33fdcf8c6&amp;source=Advertiser_Kol" TargetMode="External"/><Relationship Id="rId70" Type="http://schemas.openxmlformats.org/officeDocument/2006/relationships/hyperlink" Target="https://pgy.xiaohongshu.com/solar/pre-trade/blogger-detail/5b2de90311be1024e027ab8c?track_id=kolSearch_3158e6a1bc47489795180c8dfe191109&amp;source=Advertiser_Kol" TargetMode="External"/><Relationship Id="rId7" Type="http://schemas.openxmlformats.org/officeDocument/2006/relationships/hyperlink" Target="https://www.xiaohongshu.com/user/profile/60c9d9cb0000000001009e2a?language=zh-CN" TargetMode="External"/><Relationship Id="rId69" Type="http://schemas.openxmlformats.org/officeDocument/2006/relationships/hyperlink" Target="https://pgy.xiaohongshu.com/solar/pre-trade/blogger-detail/65850350000000001b032296?track_id=kolSearch_e5fdf4f94e694e1a9bde6a2478d7f6fc&amp;source=Advertiser_Kol" TargetMode="External"/><Relationship Id="rId68" Type="http://schemas.openxmlformats.org/officeDocument/2006/relationships/hyperlink" Target="https://pgy.xiaohongshu.com/solar/pre-trade/blogger-detail/5f31dd7e00000000010001fa?track_id=kolSearch_a1b332f63bf14fc8b280e0cb0a076565&amp;source=Advertiser_Kol" TargetMode="External"/><Relationship Id="rId67" Type="http://schemas.openxmlformats.org/officeDocument/2006/relationships/hyperlink" Target="https://pgy.xiaohongshu.com/solar/pre-trade/blogger-detail/642f09e60000000029011b9e?track_id=kolSearch_9f32b438ea584760ba43c1cf96f2fb9b&amp;source=Advertiser_Kol" TargetMode="External"/><Relationship Id="rId66" Type="http://schemas.openxmlformats.org/officeDocument/2006/relationships/hyperlink" Target="https://pgy.xiaohongshu.com/solar/pre-trade/blogger-detail/591d50e582ec397ced16b902?track_id=kolSearch_f2607d75dc404d26836275650a90d789&amp;source=Advertiser_Kol" TargetMode="External"/><Relationship Id="rId65" Type="http://schemas.openxmlformats.org/officeDocument/2006/relationships/hyperlink" Target="https://pgy.xiaohongshu.com/solar/pre-trade/blogger-detail/5b4f5fcb11be106513a09b1c?track_id=kolSearch_5898afae8ddc45e5b64749b791f59335&amp;source=Advertiser_Kol" TargetMode="External"/><Relationship Id="rId64" Type="http://schemas.openxmlformats.org/officeDocument/2006/relationships/hyperlink" Target="https://pgy.xiaohongshu.com/solar/pre-trade/blogger-detail/5fcf254b0000000001000dc1?track_id=kolSearch_6b9d38da35fa40eba6b620d4a633d09f&amp;source=Advertiser_Kol" TargetMode="External"/><Relationship Id="rId63" Type="http://schemas.openxmlformats.org/officeDocument/2006/relationships/hyperlink" Target="https://pgy.xiaohongshu.com/solar/pre-trade/blogger-detail/612f5616000000000201db0b?track_id=kolSearch_9e73eb1875e74f989bceae0bb29f7fd6&amp;source=Advertiser_Kol" TargetMode="External"/><Relationship Id="rId62" Type="http://schemas.openxmlformats.org/officeDocument/2006/relationships/hyperlink" Target="https://pgy.xiaohongshu.com/solar/pre-trade/blogger-detail/5f2e0669000000000101c68b?track_id=kolSearch_366a708dbb8a4624baf7c246bbe47c2b&amp;source=Advertiser_Kol" TargetMode="External"/><Relationship Id="rId61" Type="http://schemas.openxmlformats.org/officeDocument/2006/relationships/hyperlink" Target="https://pgy.xiaohongshu.com/solar/pre-trade/blogger-detail/5ca7791c000000001703d920?track_id=kolSearch_d3fcc24a5ddf477d979bf14e3fe5ffed&amp;source=Advertiser_Kol" TargetMode="External"/><Relationship Id="rId60" Type="http://schemas.openxmlformats.org/officeDocument/2006/relationships/hyperlink" Target="https://pgy.xiaohongshu.com/solar/pre-trade/blogger-detail/5c886d4a000000001103062a?track_id=kolSearch_aec86d67bd964e3995787b9924f8d884&amp;source=Advertiser_Kol" TargetMode="External"/><Relationship Id="rId6" Type="http://schemas.openxmlformats.org/officeDocument/2006/relationships/hyperlink" Target="https://www.xiaohongshu.com/user/profile/601d48c2000000000101e66a?language=zh-CN" TargetMode="External"/><Relationship Id="rId59" Type="http://schemas.openxmlformats.org/officeDocument/2006/relationships/hyperlink" Target="https://pgy.xiaohongshu.com/solar/pre-trade/blogger-detail/5a9e4fd2e8ac2b28058cc6bc?track_id=kolSearch_3eea07c3e7a24c3f8cc3373d9bf49ae2&amp;source=Advertiser_Kol" TargetMode="External"/><Relationship Id="rId58" Type="http://schemas.openxmlformats.org/officeDocument/2006/relationships/hyperlink" Target="https://pgy.xiaohongshu.com/solar/pre-trade/blogger-detail/60c9d9cb0000000001009e2a?track_id=kolSearch_80e82a9105a04fa381f4159f3b27538e&amp;source=Advertiser_Kol" TargetMode="External"/><Relationship Id="rId57" Type="http://schemas.openxmlformats.org/officeDocument/2006/relationships/hyperlink" Target="https://pgy.xiaohongshu.com/solar/pre-trade/blogger-detail/5c9187d70000000011009340?track_id=kolSearch_3c260d82929647958415a94a180bb98d&amp;source=Advertiser_Kol" TargetMode="External"/><Relationship Id="rId56" Type="http://schemas.openxmlformats.org/officeDocument/2006/relationships/hyperlink" Target="https://pgy.xiaohongshu.com/solar/pre-trade/blogger-detail/63427e74000000001802fe3e?track_id=kolSearch_cfb71f6ef9f944f48cdbf947084baea3&amp;source=Advertiser_Kol" TargetMode="External"/><Relationship Id="rId55" Type="http://schemas.openxmlformats.org/officeDocument/2006/relationships/hyperlink" Target="https://pgy.xiaohongshu.com/solar/pre-trade/blogger-detail/5b001a854eacab46d3308d84?track_id=kolSearch_ab766fc69d734a6c911cb7086a3347fb&amp;source=Advertiser_Kol" TargetMode="External"/><Relationship Id="rId54" Type="http://schemas.openxmlformats.org/officeDocument/2006/relationships/hyperlink" Target="https://pgy.xiaohongshu.com/solar/pre-trade/blogger-detail/5ed4909b0000000001002d4f?track_id=kolSearch_34a6ace8a0a54d8bb1a4191e1c7b5e12&amp;source=Advertiser_Kol" TargetMode="External"/><Relationship Id="rId53" Type="http://schemas.openxmlformats.org/officeDocument/2006/relationships/hyperlink" Target="https://pgy.xiaohongshu.com/solar/pre-trade/blogger-detail/5f508cb8000000000100baa4?track_id=kolSearch_61be879a4c4d4aa3b11788d1a18e6bff&amp;source=Advertiser_Kol" TargetMode="External"/><Relationship Id="rId52" Type="http://schemas.openxmlformats.org/officeDocument/2006/relationships/hyperlink" Target="https://pgy.xiaohongshu.com/solar/pre-trade/blogger-detail/5f4dde330000000001005ae2?track_id=kolSearch_899ac3c3487c49548f9d6b3634955aae&amp;source=Advertiser_Kol" TargetMode="External"/><Relationship Id="rId51" Type="http://schemas.openxmlformats.org/officeDocument/2006/relationships/hyperlink" Target="https://pgy.xiaohongshu.com/solar/pre-trade/blogger-detail/5ff947cb000000000101d8ac?track_id=kolSearch_2e20515045d445fb82f92f1edf5d58eb&amp;source=Advertiser_Kol" TargetMode="External"/><Relationship Id="rId50" Type="http://schemas.openxmlformats.org/officeDocument/2006/relationships/hyperlink" Target="https://pgy.xiaohongshu.com/solar/pre-trade/blogger-detail/5f4e07d2000000000101d5eb?track_id=kolSearch_15a6e0fabc364f898086f65ebde63732&amp;source=Advertiser_Kol" TargetMode="External"/><Relationship Id="rId5" Type="http://schemas.openxmlformats.org/officeDocument/2006/relationships/hyperlink" Target="https://www.xiaohongshu.com/user/profile/5fbf55ac00000000010054ec?language=zh-CN" TargetMode="External"/><Relationship Id="rId49" Type="http://schemas.openxmlformats.org/officeDocument/2006/relationships/hyperlink" Target="https://pgy.xiaohongshu.com/solar/pre-trade/blogger-detail/60afd8b00000000001008d94?track_id=kolSearch_bf55ff7945af48ff9d4168c02a229a35&amp;source=Advertiser_Kol" TargetMode="External"/><Relationship Id="rId48" Type="http://schemas.openxmlformats.org/officeDocument/2006/relationships/hyperlink" Target="https://pgy.xiaohongshu.com/solar/pre-trade/blogger-detail/5fa362a30000000001000747?track_id=kolSearch_29ad4d6b12c840b4b88a7efc15e5f424&amp;source=Advertiser_Kol" TargetMode="External"/><Relationship Id="rId47" Type="http://schemas.openxmlformats.org/officeDocument/2006/relationships/hyperlink" Target="https://pgy.xiaohongshu.com/solar/pre-trade/blogger-detail/5a026bc94eacab345d40800b?track_id=kolSearch_621d32718c224318be729c41e4b3f0f2&amp;source=Advertiser_Kol" TargetMode="External"/><Relationship Id="rId46" Type="http://schemas.openxmlformats.org/officeDocument/2006/relationships/hyperlink" Target="https://pgy.xiaohongshu.com/solar/pre-trade/blogger-detail/5a813a144eacab5b9d72c400?track_id=kolSearch_a6b116f5d0f1473faccb5233122861d9&amp;source=Advertiser_Kol" TargetMode="External"/><Relationship Id="rId45" Type="http://schemas.openxmlformats.org/officeDocument/2006/relationships/hyperlink" Target="https://pgy.xiaohongshu.com/solar/pre-trade/blogger-detail/5d9c4619000000000100b1c0?track_id=kolSearch_0c134ff113144bb3bd24c1c8e40c9910&amp;source=Advertiser_Kol" TargetMode="External"/><Relationship Id="rId44" Type="http://schemas.openxmlformats.org/officeDocument/2006/relationships/hyperlink" Target="https://pgy.xiaohongshu.com/solar/pre-trade/blogger-detail/61a60fe70000000010005673?track_id=kolSearch_4e0020d93e8f4404af08b7b167ef41dd&amp;source=Advertiser_Kol" TargetMode="External"/><Relationship Id="rId43" Type="http://schemas.openxmlformats.org/officeDocument/2006/relationships/hyperlink" Target="https://pgy.xiaohongshu.com/solar/pre-trade/blogger-detail/5876137c82ec392876477d49?track_id=kolSearch_69ed0984c006499aadca3a698fa54920&amp;source=Advertiser_Kol" TargetMode="External"/><Relationship Id="rId42" Type="http://schemas.openxmlformats.org/officeDocument/2006/relationships/hyperlink" Target="https://pgy.xiaohongshu.com/solar/pre-trade/blogger-detail/5bb2ee2cbb1c740001fb8731?track_id=kolSearch_645edcebb0e6403993bfd65c04c7f79f&amp;source=Advertiser_Kol" TargetMode="External"/><Relationship Id="rId41" Type="http://schemas.openxmlformats.org/officeDocument/2006/relationships/hyperlink" Target="https://pgy.xiaohongshu.com/solar/pre-trade/blogger-detail/5fbf55ac00000000010054ec?track_id=kolSearch_a8e059b9d6fc4b2ca7c93b6ec5369a22&amp;source=Advertiser_Kol" TargetMode="External"/><Relationship Id="rId40" Type="http://schemas.openxmlformats.org/officeDocument/2006/relationships/hyperlink" Target="https://pgy.xiaohongshu.com/solar/pre-trade/blogger-detail/601d48c2000000000101e66a?track_id=kolSearch_daa082264a03422989c91a4da391e036&amp;source=Advertiser_Kol" TargetMode="External"/><Relationship Id="rId4" Type="http://schemas.openxmlformats.org/officeDocument/2006/relationships/hyperlink" Target="https://www.xiaohongshu.com/user/profile/5c886d4a000000001103062a?language=zh-CN" TargetMode="External"/><Relationship Id="rId39" Type="http://schemas.openxmlformats.org/officeDocument/2006/relationships/hyperlink" Target="https://pgy.xiaohongshu.com/solar/pre-trade/blogger-detail/5fc9c5480000000001004b0e?track_id=kolSearch_6ac73a13dbea4ce99c688d37b52ebfe9&amp;source=Advertiser_Kol" TargetMode="External"/><Relationship Id="rId38" Type="http://schemas.openxmlformats.org/officeDocument/2006/relationships/hyperlink" Target="https://www.xiaohongshu.com/user/profile/5fd1ec020000000001006b13?xhsshare=CopyLink&amp;appuid=5bb0616f7d87110001b9d058&amp;apptime=1660629721" TargetMode="External"/><Relationship Id="rId37" Type="http://schemas.openxmlformats.org/officeDocument/2006/relationships/hyperlink" Target="https://www.xiaohongshu.com/user/profile/5a813a144eacab5b9d72c400?xhsshare=CopyLink&amp;appuid=5f6887c9000000000100b2fc&amp;apptime=1723700841&amp;share_id=704b384e90fa4a349ec425d10d3c571b" TargetMode="External"/><Relationship Id="rId36" Type="http://schemas.openxmlformats.org/officeDocument/2006/relationships/hyperlink" Target="https://www.xiaohongshu.com/user/profile/5d9c4619000000000100b1c0?xhsshare=CopyLink&amp;appuid=5f6887c9000000000100b2fc&amp;apptime=1691991561" TargetMode="External"/><Relationship Id="rId35" Type="http://schemas.openxmlformats.org/officeDocument/2006/relationships/hyperlink" Target="https://www.xiaohongshu.com/user/profile/65850350000000001b032296?xhsshare=CopyLink&amp;appuid=5f6887c9000000000100b2fc&amp;apptime=1716184285" TargetMode="External"/><Relationship Id="rId34" Type="http://schemas.openxmlformats.org/officeDocument/2006/relationships/hyperlink" Target="https://www.xiaohongshu.com/user/profile/642f09e60000000029011b9e?xhsshare=CopyLink&amp;appuid=5f6887c9000000000100b2fc&amp;apptime=1713341457" TargetMode="External"/><Relationship Id="rId33" Type="http://schemas.openxmlformats.org/officeDocument/2006/relationships/hyperlink" Target="https://www.xiaohongshu.com/user/profile/5a026bc94eacab345d40800b?xhsshare=CopyLink&amp;appuid=5f6887c9000000000100b2fc&amp;apptime=1706512965" TargetMode="External"/><Relationship Id="rId32" Type="http://schemas.openxmlformats.org/officeDocument/2006/relationships/hyperlink" Target="https://www.xiaohongshu.com/user/profile/60ab06f4000000000101f416?xhsshare=CopyLink&amp;appuid=5f6887c9000000000100b2fc&amp;apptime=1704441598" TargetMode="External"/><Relationship Id="rId31" Type="http://schemas.openxmlformats.org/officeDocument/2006/relationships/hyperlink" Target="https://www.xiaohongshu.com/user/profile/5f4e07d2000000000101d5eb?xhsshare=CopyLink&amp;appuid=5f6887c9000000000100b2fc&amp;apptime=1699496214" TargetMode="External"/><Relationship Id="rId30" Type="http://schemas.openxmlformats.org/officeDocument/2006/relationships/hyperlink" Target="https://www.xiaohongshu.com/user/profile/5ca7791c000000001703d920?xhsshare=CopyLink&amp;appuid=5f6887c9000000000100b2fc&amp;apptime=1698031379" TargetMode="External"/><Relationship Id="rId3" Type="http://schemas.openxmlformats.org/officeDocument/2006/relationships/hyperlink" Target="https://www.xiaohongshu.com/user/profile/5b001a854eacab46d3308d84?language=zh-CN" TargetMode="External"/><Relationship Id="rId29" Type="http://schemas.openxmlformats.org/officeDocument/2006/relationships/hyperlink" Target="https://www.xiaohongshu.com/user/profile/63246d3a00000000230275e1?xhsshare=CopyLink&amp;appuid=5f6887c9000000000100b2fc&amp;apptime=1697786233" TargetMode="External"/><Relationship Id="rId28" Type="http://schemas.openxmlformats.org/officeDocument/2006/relationships/hyperlink" Target="https://www.xiaohongshu.com/user/profile/5fc9c5480000000001004b0e?xhsshare=CopyLink&amp;appuid=5f6887c9000000000100b2fc&amp;apptime=1692700093" TargetMode="External"/><Relationship Id="rId27" Type="http://schemas.openxmlformats.org/officeDocument/2006/relationships/hyperlink" Target="https://www.xiaohongshu.com/user/profile/5f4dde330000000001005ae2?xhsshare=CopyLink&amp;appuid=5f6887c9000000000100b2fc&amp;apptime=1692254448" TargetMode="External"/><Relationship Id="rId26" Type="http://schemas.openxmlformats.org/officeDocument/2006/relationships/hyperlink" Target="https://www.xiaohongshu.com/user/profile/5bb2ee2cbb1c740001fb8731?xhsshare=CopyLink&amp;appuid=5f6887c9000000000100b2fc&amp;apptime=1691569990" TargetMode="External"/><Relationship Id="rId25" Type="http://schemas.openxmlformats.org/officeDocument/2006/relationships/hyperlink" Target="https://www.xiaohongshu.com/user/profile/60afd8b00000000001008d94?xhsshare=CopyLink&amp;appuid=5f6887c9000000000100b2fc&amp;apptime=1690434083" TargetMode="External"/><Relationship Id="rId24" Type="http://schemas.openxmlformats.org/officeDocument/2006/relationships/hyperlink" Target="https://www.xiaohongshu.com/user/profile/5c9187d70000000011009340?xhsshare=CopyLink&amp;appuid=5f6887c9000000000100b2fc&amp;apptime=1689591526" TargetMode="External"/><Relationship Id="rId23" Type="http://schemas.openxmlformats.org/officeDocument/2006/relationships/hyperlink" Target="https://www.xiaohongshu.com/user/profile/5f31dd7e00000000010001fa?xhsshare=CopyLink&amp;appuid=5f6887c9000000000100b2fc&amp;apptime=1688612831" TargetMode="External"/><Relationship Id="rId22" Type="http://schemas.openxmlformats.org/officeDocument/2006/relationships/hyperlink" Target="https://www.xiaohongshu.com/user/profile/5fcf254b0000000001000dc1?xhsshare=CopyLink&amp;appuid=5f6887c9000000000100b2fc&amp;apptime=1685499908" TargetMode="External"/><Relationship Id="rId21" Type="http://schemas.openxmlformats.org/officeDocument/2006/relationships/hyperlink" Target="https://www.xiaohongshu.com/user/profile/5ff947cb000000000101d8ac?xhsshare=CopyLink&amp;appuid=5f6887c9000000000100b2fc&amp;apptime=1684128014" TargetMode="External"/><Relationship Id="rId20" Type="http://schemas.openxmlformats.org/officeDocument/2006/relationships/hyperlink" Target="https://www.xiaohongshu.com/user/profile/591d50e582ec397ced16b902?xhsshare=CopyLink&amp;appuid=5f6887c9000000000100b2fc&amp;apptime=1682411995" TargetMode="External"/><Relationship Id="rId2" Type="http://schemas.openxmlformats.org/officeDocument/2006/relationships/hyperlink" Target="https://www.xiaohongshu.com/user/profile/5cb427010000000017018af8?language=zh-CN" TargetMode="External"/><Relationship Id="rId19" Type="http://schemas.openxmlformats.org/officeDocument/2006/relationships/hyperlink" Target="https://www.xiaohongshu.com/user/profile/5876137c82ec392876477d49?xhsshare=CopyLink&amp;appuid=5876137c82ec392876477d49&amp;apptime=1559476421" TargetMode="External"/><Relationship Id="rId18" Type="http://schemas.openxmlformats.org/officeDocument/2006/relationships/hyperlink" Target="https://www.xiaohongshu.com/user/profile/5b2de90311be1024e027ab8c?xhsshare=CopyLink&amp;appuid=5f6887c9000000000100b2fc&amp;apptime=1679989323" TargetMode="External"/><Relationship Id="rId17" Type="http://schemas.openxmlformats.org/officeDocument/2006/relationships/hyperlink" Target="https://www.xiaohongshu.com/user/profile/63427e74000000001802fe3e?xhsshare=CopyLink&amp;appuid=5f6887c9000000000100b2fc&amp;apptime=1669968325" TargetMode="External"/><Relationship Id="rId16" Type="http://schemas.openxmlformats.org/officeDocument/2006/relationships/hyperlink" Target="https://www.xiaohongshu.com/user/profile/5c6836cc0000000011031924?xhsshare=CopyLink&amp;appuid=5f6887c9000000000100b2fc&amp;apptime=1668403653" TargetMode="External"/><Relationship Id="rId15" Type="http://schemas.openxmlformats.org/officeDocument/2006/relationships/hyperlink" Target="https://www.xiaohongshu.com/user/profile/5a9e4fd2e8ac2b28058cc6bc?xhsshare=CopyLink&amp;appuid=5bb0616f7d87110001b9d058&amp;apptime=1660629996" TargetMode="External"/><Relationship Id="rId14" Type="http://schemas.openxmlformats.org/officeDocument/2006/relationships/hyperlink" Target="https://www.xiaohongshu.com/user/profile/61a60fe70000000010005673?xhsshare=CopyLink&amp;appuid=5abb1ddc4eacab7df3804e90&amp;apptime=1646106950" TargetMode="External"/><Relationship Id="rId13" Type="http://schemas.openxmlformats.org/officeDocument/2006/relationships/hyperlink" Target="https://www.xiaohongshu.com/user/profile/5b4f5fcb11be106513a09b1c" TargetMode="External"/><Relationship Id="rId12" Type="http://schemas.openxmlformats.org/officeDocument/2006/relationships/hyperlink" Target="https://www.xiaohongshu.com/user/profile/612f5616000000000201db0b?language=zh-CN" TargetMode="External"/><Relationship Id="rId11" Type="http://schemas.openxmlformats.org/officeDocument/2006/relationships/hyperlink" Target="https://www.xiaohongshu.com/user/profile/5ed4909b0000000001002d4f?language=zh-CN" TargetMode="External"/><Relationship Id="rId101" Type="http://schemas.openxmlformats.org/officeDocument/2006/relationships/hyperlink" Target="https://xhslink.com/m/1X5PzJxj7OU" TargetMode="External"/><Relationship Id="rId100" Type="http://schemas.openxmlformats.org/officeDocument/2006/relationships/hyperlink" Target="https://pgy.xiaohongshu.com/solar/pre-trade/blogger-detail/611d15d0000000000100ad88?track_id=kolSearch_417f4eb217844f4c9e144f13e6dea512&amp;source=Advertiser_Kol" TargetMode="External"/><Relationship Id="rId10" Type="http://schemas.openxmlformats.org/officeDocument/2006/relationships/hyperlink" Target="https://www.xiaohongshu.com/user/profile/5fa362a30000000001000747?language=zh-CN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hyperlink" Target="https://live.kuaishou.com/profile/xiaodudu20181208" TargetMode="External"/><Relationship Id="rId8" Type="http://schemas.openxmlformats.org/officeDocument/2006/relationships/hyperlink" Target="https://live.kuaishou.com/profile/Jinbo9805" TargetMode="External"/><Relationship Id="rId7" Type="http://schemas.openxmlformats.org/officeDocument/2006/relationships/hyperlink" Target="https://live.kuaishou.com/profile/3xbn4pn987uua5q" TargetMode="External"/><Relationship Id="rId6" Type="http://schemas.openxmlformats.org/officeDocument/2006/relationships/hyperlink" Target="https://live.kuaishou.com/profile/Dahuangh" TargetMode="External"/><Relationship Id="rId5" Type="http://schemas.openxmlformats.org/officeDocument/2006/relationships/hyperlink" Target="https://live.kuaishou.com/profile/yaner957" TargetMode="External"/><Relationship Id="rId4" Type="http://schemas.openxmlformats.org/officeDocument/2006/relationships/hyperlink" Target="https://live.kuaishou.com/profile/Roududu1998z" TargetMode="External"/><Relationship Id="rId3" Type="http://schemas.openxmlformats.org/officeDocument/2006/relationships/hyperlink" Target="https://live.kuaishou.com/profile/Handsomeht" TargetMode="External"/><Relationship Id="rId29" Type="http://schemas.openxmlformats.org/officeDocument/2006/relationships/hyperlink" Target="https://v.kuaishou.com/JH0izg3N" TargetMode="External"/><Relationship Id="rId28" Type="http://schemas.openxmlformats.org/officeDocument/2006/relationships/hyperlink" Target="https://v.kuaishou.com/JfESauIY" TargetMode="External"/><Relationship Id="rId27" Type="http://schemas.openxmlformats.org/officeDocument/2006/relationships/hyperlink" Target="https://v.kuaishou.com/nuLqSDG3" TargetMode="External"/><Relationship Id="rId26" Type="http://schemas.openxmlformats.org/officeDocument/2006/relationships/hyperlink" Target="https://v.kuaishou.com/KIJDmKoP" TargetMode="External"/><Relationship Id="rId25" Type="http://schemas.openxmlformats.org/officeDocument/2006/relationships/hyperlink" Target="https://live.kuaishou.com/profile/3xt6e7ftwjievc4" TargetMode="External"/><Relationship Id="rId24" Type="http://schemas.openxmlformats.org/officeDocument/2006/relationships/hyperlink" Target="https://v.kuaishou.com/iTF8WX" TargetMode="External"/><Relationship Id="rId23" Type="http://schemas.openxmlformats.org/officeDocument/2006/relationships/hyperlink" Target="https://v.kuaishou.com/kpTXgm" TargetMode="External"/><Relationship Id="rId22" Type="http://schemas.openxmlformats.org/officeDocument/2006/relationships/hyperlink" Target="https://live.kuaishou.com/profile/Thesmallyear" TargetMode="External"/><Relationship Id="rId21" Type="http://schemas.openxmlformats.org/officeDocument/2006/relationships/hyperlink" Target="https://live.kuaishou.com/profile/ygxdwl666" TargetMode="External"/><Relationship Id="rId20" Type="http://schemas.openxmlformats.org/officeDocument/2006/relationships/hyperlink" Target="https://live.kuaishou.com/profile/3xjjzysswd2hqqm" TargetMode="External"/><Relationship Id="rId2" Type="http://schemas.openxmlformats.org/officeDocument/2006/relationships/hyperlink" Target="https://live.kuaishou.com/profile/3xi4apqvqnf7g7y" TargetMode="External"/><Relationship Id="rId19" Type="http://schemas.openxmlformats.org/officeDocument/2006/relationships/hyperlink" Target="https://live.kuaishou.com/profile/KK13881688" TargetMode="External"/><Relationship Id="rId18" Type="http://schemas.openxmlformats.org/officeDocument/2006/relationships/hyperlink" Target="https://live.kuaishou.com/profile/A77777774_" TargetMode="External"/><Relationship Id="rId17" Type="http://schemas.openxmlformats.org/officeDocument/2006/relationships/hyperlink" Target="https://live.kuaishou.com/profile/3xqsxy7pk7b3rq9" TargetMode="External"/><Relationship Id="rId16" Type="http://schemas.openxmlformats.org/officeDocument/2006/relationships/hyperlink" Target="https://live.kuaishou.com/profile/xrr888006" TargetMode="External"/><Relationship Id="rId15" Type="http://schemas.openxmlformats.org/officeDocument/2006/relationships/hyperlink" Target="https://live.kuaishou.com/profile/yihang112244" TargetMode="External"/><Relationship Id="rId14" Type="http://schemas.openxmlformats.org/officeDocument/2006/relationships/hyperlink" Target="https://live.kuaishou.com/profile/Xiaxia977" TargetMode="External"/><Relationship Id="rId13" Type="http://schemas.openxmlformats.org/officeDocument/2006/relationships/hyperlink" Target="https://live.kuaishou.com/profile/bigefeixi" TargetMode="External"/><Relationship Id="rId12" Type="http://schemas.openxmlformats.org/officeDocument/2006/relationships/hyperlink" Target="https://live.kuaishou.com/profile/zhousanshi0818" TargetMode="External"/><Relationship Id="rId11" Type="http://schemas.openxmlformats.org/officeDocument/2006/relationships/hyperlink" Target="https://live.kuaishou.com/profile/wutangnaicha23" TargetMode="External"/><Relationship Id="rId10" Type="http://schemas.openxmlformats.org/officeDocument/2006/relationships/hyperlink" Target="https://live.kuaishou.com/profile/xxy1129xy" TargetMode="Externa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hyperlink" Target="https://space.bilibili.com/438538373?spm_id_from=333.337.0.0" TargetMode="External"/><Relationship Id="rId8" Type="http://schemas.openxmlformats.org/officeDocument/2006/relationships/hyperlink" Target="https://space.bilibili.com/686354330?spm_id_from=333.337.0.0" TargetMode="External"/><Relationship Id="rId7" Type="http://schemas.openxmlformats.org/officeDocument/2006/relationships/hyperlink" Target="https://space.bilibili.com/1972786116?spm_id_from=333.337.0.0" TargetMode="External"/><Relationship Id="rId6" Type="http://schemas.openxmlformats.org/officeDocument/2006/relationships/hyperlink" Target="https://space.bilibili.com/1476802359?spm_id_from=333.337.0.0" TargetMode="External"/><Relationship Id="rId5" Type="http://schemas.openxmlformats.org/officeDocument/2006/relationships/hyperlink" Target="https://space.bilibili.com/1171192768?spm_id_from=333.337.0.0" TargetMode="External"/><Relationship Id="rId4" Type="http://schemas.openxmlformats.org/officeDocument/2006/relationships/hyperlink" Target="https://space.bilibili.com/2069267165?spm_id_from=333.337.0.0" TargetMode="External"/><Relationship Id="rId3" Type="http://schemas.openxmlformats.org/officeDocument/2006/relationships/hyperlink" Target="https://space.bilibili.com/1752056466?spm_id_from=333.337.0.0" TargetMode="External"/><Relationship Id="rId2" Type="http://schemas.openxmlformats.org/officeDocument/2006/relationships/hyperlink" Target="https://space.bilibili.com/30139938?spm_id_from=333.337.0.0" TargetMode="External"/><Relationship Id="rId11" Type="http://schemas.openxmlformats.org/officeDocument/2006/relationships/hyperlink" Target="https://space.bilibili.com/3494370374322460?spm_id_from=333.337.0.0" TargetMode="External"/><Relationship Id="rId10" Type="http://schemas.openxmlformats.org/officeDocument/2006/relationships/hyperlink" Target="https://space.bilibili.com/1376579261?spm_id_from=333.337.0.0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6" Type="http://schemas.openxmlformats.org/officeDocument/2006/relationships/hyperlink" Target="https://is.snssdk.com/motor/ugc/profile.html?link_source=share&amp;the_user_id=997944708048468" TargetMode="External"/><Relationship Id="rId5" Type="http://schemas.openxmlformats.org/officeDocument/2006/relationships/hyperlink" Target="https://is.snssdk.com/motor/ugc/profile.html?link_source=share&amp;the_user_id=73208712518" TargetMode="External"/><Relationship Id="rId4" Type="http://schemas.openxmlformats.org/officeDocument/2006/relationships/hyperlink" Target="https://is.snssdk.com/motor/ugc/profile.html?link_source=share&amp;the_user_id=104402962924" TargetMode="External"/><Relationship Id="rId3" Type="http://schemas.openxmlformats.org/officeDocument/2006/relationships/hyperlink" Target="https://is.snssdk.com/motor/ugc/profile.html?link_source=share&amp;the_user_id=3413348012532631" TargetMode="External"/><Relationship Id="rId2" Type="http://schemas.openxmlformats.org/officeDocument/2006/relationships/hyperlink" Target="https://is.snssdk.com/motor/ugc/profile.html?link_source=share&amp;the_user_id=997974094390888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hyperlink" Target="https://v.douyin.com/A4Wbyjf/" TargetMode="External"/><Relationship Id="rId8" Type="http://schemas.openxmlformats.org/officeDocument/2006/relationships/hyperlink" Target="https://v.douyin.com/rfgepnY/" TargetMode="External"/><Relationship Id="rId7" Type="http://schemas.openxmlformats.org/officeDocument/2006/relationships/hyperlink" Target="https://v.douyin.com/2W7nbwM/" TargetMode="External"/><Relationship Id="rId6" Type="http://schemas.openxmlformats.org/officeDocument/2006/relationships/hyperlink" Target="https://v.douyin.com/e1dnU3C/" TargetMode="External"/><Relationship Id="rId59" Type="http://schemas.openxmlformats.org/officeDocument/2006/relationships/hyperlink" Target="https://www.xingtu.cn/ad/creator/author-homepage/douyin-video/6675972478684102659?market_track_id=8VVIMQRXFNYSWMG59N6B&amp;search_session_id=7516811288732237887&amp;possessStarId" TargetMode="External"/><Relationship Id="rId58" Type="http://schemas.openxmlformats.org/officeDocument/2006/relationships/hyperlink" Target="https://v.douyin.com/SfXQxQL349E/ 7@4.com" TargetMode="External"/><Relationship Id="rId57" Type="http://schemas.openxmlformats.org/officeDocument/2006/relationships/hyperlink" Target="https://www.xingtu.cn/ad/creator/author-homepage/douyin-video/6870162821561204743?market_track_id=KL6TLOM9QJ0UCP1XH4IE&amp;search_session_id=7506430103665426443&amp;video_type=2&amp;_route_from=from_page%3DMarket%26search_session_id%3D7506430103665426443%26is_for_order%3D1%26market_track_id%3DKL6TLOM9QJ0UCP1XH4IE%26platform_source%3D1%26key%3D%25E4%25B8%2580%25E8%2588%25A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56" Type="http://schemas.openxmlformats.org/officeDocument/2006/relationships/hyperlink" Target="https://v.douyin.com/NYLLwJm/" TargetMode="External"/><Relationship Id="rId55" Type="http://schemas.openxmlformats.org/officeDocument/2006/relationships/hyperlink" Target="https://www.xingtu.cn/ad/creator/author-homepage/douyin-video/6639507729494835203?market_track_id=S08FD099W7OEDKAWYKAC&amp;search_session_id=7506416438765666323&amp;video_type=2&amp;_route_from=from_page%3DMarket%26search_session_id%3D7506416438765666323%26is_for_order%3D1%26market_track_id%3DS08FD099W7OEDKAWYKAC%26platform_source%3D1%26key%3D%25E9%259F%25A6%25E5%25BA%25B7vico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54" Type="http://schemas.openxmlformats.org/officeDocument/2006/relationships/hyperlink" Target="https://v.douyin.com/UYCTfS6/" TargetMode="External"/><Relationship Id="rId53" Type="http://schemas.openxmlformats.org/officeDocument/2006/relationships/hyperlink" Target="https://www.xingtu.cn/ad/creator/author-homepage/douyin-video/6894600608431472640?market_track_id=TVMBBD6DFZ3H97QQ0N06&amp;search_session_id=7506430716956180521&amp;video_type=2&amp;_route_from=from_page%3DMarket%26search_session_id%3D7506430716956180521%26is_for_order%3D1%26market_track_id%3DTVMBBD6DFZ3H97QQ0N06%26platform_source%3D1%26key%3D%25E4%25B8%2580%25E4%25B8%25AA%25E7%25BE%258E%25E5%25B0%2591%25E9%25B9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52" Type="http://schemas.openxmlformats.org/officeDocument/2006/relationships/hyperlink" Target="https://v.douyin.com/BbNG319/" TargetMode="External"/><Relationship Id="rId51" Type="http://schemas.openxmlformats.org/officeDocument/2006/relationships/hyperlink" Target="https://www.xingtu.cn/ad/creator/author-homepage/douyin-video/7270472015461482554?market_track_id=YRQZCKGS6C6XRPVJ5T7Y&amp;search_session_id=7550220784732897316&amp;possessStarId" TargetMode="External"/><Relationship Id="rId50" Type="http://schemas.openxmlformats.org/officeDocument/2006/relationships/hyperlink" Target="https://www.xingtu.cn/ad/creator/author-homepage/douyin-video/7283823086028193803?market_track_id=2LT707YXXASNCHJM9C3E&amp;search_session_id=7550220625697620010&amp;possessStarId" TargetMode="External"/><Relationship Id="rId5" Type="http://schemas.openxmlformats.org/officeDocument/2006/relationships/hyperlink" Target="https://v.douyin.com/e1dopKv/" TargetMode="External"/><Relationship Id="rId49" Type="http://schemas.openxmlformats.org/officeDocument/2006/relationships/hyperlink" Target="https://www.xingtu.cn/ad/creator/author-homepage/douyin-video/7062567598881243151?market_track_id=JH9AXT9UZ5CVRQUTBKEH&amp;search_session_id=7550220484609982506&amp;possessStarId" TargetMode="External"/><Relationship Id="rId48" Type="http://schemas.openxmlformats.org/officeDocument/2006/relationships/hyperlink" Target="https://www.xingtu.cn/ad/creator/author-homepage/douyin-video/7281638336735739943?market_track_id=8GK099J7N7JPB8RYHF8U&amp;search_session_id=7550220054031089703&amp;possessStarId" TargetMode="External"/><Relationship Id="rId47" Type="http://schemas.openxmlformats.org/officeDocument/2006/relationships/hyperlink" Target="https://www.xingtu.cn/ad/creator/author-homepage/douyin-video/6870164604043919367?market_track_id=KCUK9D94UPOOJ5HYMO6W&amp;search_session_id=7550219973672501291&amp;possessStarId" TargetMode="External"/><Relationship Id="rId46" Type="http://schemas.openxmlformats.org/officeDocument/2006/relationships/hyperlink" Target="https://www.xingtu.cn/ad/creator/author-homepage/douyin-video/7001886618818707491?market_track_id=PA8P24MD9ZNXK2NVY5FY&amp;search_session_id=7550219864423481387&amp;possessStarId" TargetMode="External"/><Relationship Id="rId45" Type="http://schemas.openxmlformats.org/officeDocument/2006/relationships/hyperlink" Target="https://www.xingtu.cn/ad/creator/author-homepage/douyin-video/6742066222692565006?market_track_id=FZADQ8CXP9WR64C04VUF&amp;search_session_id=7550219814963724307&amp;possessStarId" TargetMode="External"/><Relationship Id="rId44" Type="http://schemas.openxmlformats.org/officeDocument/2006/relationships/hyperlink" Target="https://www.xingtu.cn/ad/creator/author-homepage/douyin-video/6677157331165249539?market_track_id=TC09IWAFYQRVSS5KRSSL&amp;search_session_id=7550219394329231403&amp;possessStarId" TargetMode="External"/><Relationship Id="rId43" Type="http://schemas.openxmlformats.org/officeDocument/2006/relationships/hyperlink" Target="https://www.xingtu.cn/ad/creator/author-homepage/douyin-video/6629661007348236302?market_track_id=FFE8SV4SP2U10W5XYRKU&amp;search_session_id=7550219239991345195&amp;possessStarId" TargetMode="External"/><Relationship Id="rId42" Type="http://schemas.openxmlformats.org/officeDocument/2006/relationships/hyperlink" Target="https://www.xingtu.cn/ad/creator/author-homepage/douyin-video/6596679478083059716?market_track_id=YRGBT4HZY5V5CK4RMLOT&amp;search_session_id=7550219100434202643&amp;possessStarId" TargetMode="External"/><Relationship Id="rId41" Type="http://schemas.openxmlformats.org/officeDocument/2006/relationships/hyperlink" Target="https://www.xingtu.cn/ad/creator/author-homepage/douyin-video/7237162630903758881?market_track_id=K0JCD31RB8NPRC5GRY4H&amp;search_session_id=7550218956808880170&amp;possessStarId" TargetMode="External"/><Relationship Id="rId40" Type="http://schemas.openxmlformats.org/officeDocument/2006/relationships/hyperlink" Target="https://www.xingtu.cn/ad/creator/author-homepage/douyin-video/6629723424748994564?market_track_id=YXGB38SFJ1L77C44WCD0&amp;search_session_id=7550218778458472511&amp;possessStarId" TargetMode="External"/><Relationship Id="rId4" Type="http://schemas.openxmlformats.org/officeDocument/2006/relationships/hyperlink" Target="https://v.douyin.com/e18x2s1/" TargetMode="External"/><Relationship Id="rId39" Type="http://schemas.openxmlformats.org/officeDocument/2006/relationships/hyperlink" Target="https://www.xingtu.cn/ad/creator/author-homepage/douyin-video/6640252091245789188?market_track_id=JNL5RRSOVC13VRKRVW2N&amp;search_session_id=7550218554697433107&amp;possessStarId" TargetMode="External"/><Relationship Id="rId38" Type="http://schemas.openxmlformats.org/officeDocument/2006/relationships/hyperlink" Target="https://www.xingtu.cn/ad/creator/author-homepage/douyin-video/6939042595356016652?market_track_id=RLBNH1FQESPB8C52YN6Q&amp;search_session_id=7550218385226334251&amp;possessStarId" TargetMode="External"/><Relationship Id="rId37" Type="http://schemas.openxmlformats.org/officeDocument/2006/relationships/hyperlink" Target="https://www.xingtu.cn/ad/creator/author-homepage/douyin-video/6870161239037706253?market_track_id=KGDOIV1C637VKVSO8BCI&amp;search_session_id=7550218122440671274&amp;possessStarId" TargetMode="External"/><Relationship Id="rId36" Type="http://schemas.openxmlformats.org/officeDocument/2006/relationships/hyperlink" Target="https://www.xingtu.cn/ad/creator/author-homepage/douyin-video/6615821710526513155?market_track_id=J9CDG8ZG8UK9OYQGJ5M5&amp;search_session_id=7550217578959552566&amp;possessStarId" TargetMode="External"/><Relationship Id="rId35" Type="http://schemas.openxmlformats.org/officeDocument/2006/relationships/hyperlink" Target="https://www.xingtu.cn/ad/creator/author-homepage/douyin-video/6760484915038388231?market_track_id=D2I814U0YF0H0S78V4NX&amp;search_session_id=7550217255607664679&amp;possessStarId" TargetMode="External"/><Relationship Id="rId34" Type="http://schemas.openxmlformats.org/officeDocument/2006/relationships/hyperlink" Target="https://www.xingtu.cn/ad/creator/author-homepage/douyin-video/6871549993585475587?market_track_id=RH48477MKB1VR1UNYGCS&amp;search_session_id=7550217075030884391&amp;possessStarId" TargetMode="External"/><Relationship Id="rId33" Type="http://schemas.openxmlformats.org/officeDocument/2006/relationships/hyperlink" Target="https://www.xingtu.cn/ad/creator/author-homepage/douyin-video/7055186462358110239?market_track_id=0S6MHXHBLH5VC2WLNDJ2&amp;search_session_id=7550217075030540327&amp;possessStarId" TargetMode="External"/><Relationship Id="rId32" Type="http://schemas.openxmlformats.org/officeDocument/2006/relationships/hyperlink" Target="https://www.xingtu.cn/ad/creator/author-homepage/douyin-video/6810311904263667719?market_track_id=26ZQGJM6ARET41LHTQMT&amp;search_session_id=7550216389245009961&amp;possessStarId" TargetMode="External"/><Relationship Id="rId31" Type="http://schemas.openxmlformats.org/officeDocument/2006/relationships/hyperlink" Target="https://www.xingtu.cn/ad/creator/author-homepage/douyin-video/7300476344071110693?market_track_id=715DEKOOY6EFZPKN3OS6&amp;search_session_id=7550216179446022183&amp;possessStarId" TargetMode="External"/><Relationship Id="rId30" Type="http://schemas.openxmlformats.org/officeDocument/2006/relationships/hyperlink" Target="https://www.xingtu.cn/ad/creator/author-homepage/douyin-video/7118636721230577700?market_track_id=3VV5ZBKXKBMKIPIX3IZH&amp;search_session_id=7550215159429333031&amp;possessStarId" TargetMode="External"/><Relationship Id="rId3" Type="http://schemas.openxmlformats.org/officeDocument/2006/relationships/hyperlink" Target="https://v.douyin.com/eaRJPHe/" TargetMode="External"/><Relationship Id="rId29" Type="http://schemas.openxmlformats.org/officeDocument/2006/relationships/hyperlink" Target="https://www.xingtu.cn/ad/creator/author-homepage/douyin-video/6801043323701166093?market_track_id=WRWTEVNZUU1314FZAKXZ&amp;search_session_id=7550215047575666724&amp;possessStarId" TargetMode="External"/><Relationship Id="rId28" Type="http://schemas.openxmlformats.org/officeDocument/2006/relationships/hyperlink" Target="https://www.xingtu.cn/ad/creator/author-homepage/douyin-video/6596679498022780936?market_track_id=OT328YAVVPOJZEPAV52J&amp;search_session_id=7550215036942712851&amp;possessStarId" TargetMode="External"/><Relationship Id="rId27" Type="http://schemas.openxmlformats.org/officeDocument/2006/relationships/hyperlink" Target="https://www.xingtu.cn/ad/creator/author-homepage/douyin-video/7128380987993489438?market_track_id=3XWNK7LWA21OEENNFR80&amp;search_session_id=7550214870017998891&amp;possessStarId" TargetMode="External"/><Relationship Id="rId26" Type="http://schemas.openxmlformats.org/officeDocument/2006/relationships/hyperlink" Target="https://v.douyin.com/JSacLxr/" TargetMode="External"/><Relationship Id="rId25" Type="http://schemas.openxmlformats.org/officeDocument/2006/relationships/hyperlink" Target="https://v.douyin.com/C2FPaiMOprM/" TargetMode="External"/><Relationship Id="rId24" Type="http://schemas.openxmlformats.org/officeDocument/2006/relationships/hyperlink" Target="https://v.douyin.com/iY85wBRt/" TargetMode="External"/><Relationship Id="rId23" Type="http://schemas.openxmlformats.org/officeDocument/2006/relationships/hyperlink" Target="https://v.douyin.com/hqXeQ5d/" TargetMode="External"/><Relationship Id="rId22" Type="http://schemas.openxmlformats.org/officeDocument/2006/relationships/hyperlink" Target="https://v.douyin.com/M3spsCWS4Tc/" TargetMode="External"/><Relationship Id="rId21" Type="http://schemas.openxmlformats.org/officeDocument/2006/relationships/hyperlink" Target="https://v.douyin.com/vP3VmxRgiLI/" TargetMode="External"/><Relationship Id="rId20" Type="http://schemas.openxmlformats.org/officeDocument/2006/relationships/hyperlink" Target="https://v.douyin.com/i8cKAwaa/ 8@0.com" TargetMode="External"/><Relationship Id="rId2" Type="http://schemas.openxmlformats.org/officeDocument/2006/relationships/hyperlink" Target="https://v.douyin.com/88tpRCb/" TargetMode="External"/><Relationship Id="rId19" Type="http://schemas.openxmlformats.org/officeDocument/2006/relationships/hyperlink" Target="https://v.douyin.com/idjuYaHy/" TargetMode="External"/><Relationship Id="rId18" Type="http://schemas.openxmlformats.org/officeDocument/2006/relationships/hyperlink" Target="https://v.douyin.com/iJW1TXLv/" TargetMode="External"/><Relationship Id="rId17" Type="http://schemas.openxmlformats.org/officeDocument/2006/relationships/hyperlink" Target="https://v.douyin.com/FswYnjx/" TargetMode="External"/><Relationship Id="rId16" Type="http://schemas.openxmlformats.org/officeDocument/2006/relationships/hyperlink" Target="https://v.douyin.com/i2nY4afF/" TargetMode="External"/><Relationship Id="rId15" Type="http://schemas.openxmlformats.org/officeDocument/2006/relationships/hyperlink" Target="https://v.douyin.com/nthyDT/" TargetMode="External"/><Relationship Id="rId14" Type="http://schemas.openxmlformats.org/officeDocument/2006/relationships/hyperlink" Target="https://v.douyin.com/i8aCMmDk/" TargetMode="External"/><Relationship Id="rId13" Type="http://schemas.openxmlformats.org/officeDocument/2006/relationships/hyperlink" Target="https://v.douyin.com/eNCkcEU/" TargetMode="External"/><Relationship Id="rId12" Type="http://schemas.openxmlformats.org/officeDocument/2006/relationships/hyperlink" Target="https://v.douyin.com/DDtQneX/" TargetMode="External"/><Relationship Id="rId11" Type="http://schemas.openxmlformats.org/officeDocument/2006/relationships/hyperlink" Target="https://v.douyin.com/yFCq9y3/" TargetMode="External"/><Relationship Id="rId10" Type="http://schemas.openxmlformats.org/officeDocument/2006/relationships/hyperlink" Target="https://v.douyin.com/yNkevye/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5"/>
  <sheetViews>
    <sheetView workbookViewId="0">
      <selection activeCell="P24" sqref="P24"/>
    </sheetView>
  </sheetViews>
  <sheetFormatPr defaultColWidth="9.81666666666667" defaultRowHeight="16.5"/>
  <cols>
    <col min="1" max="1" width="6" style="256" customWidth="1"/>
    <col min="2" max="6" width="9" style="256"/>
    <col min="7" max="7" width="10.3583333333333" style="256" customWidth="1"/>
    <col min="8" max="8" width="12.6416666666667" style="256" customWidth="1"/>
    <col min="9" max="11" width="9" style="256"/>
    <col min="12" max="12" width="30.5416666666667" style="256" customWidth="1"/>
    <col min="13" max="16379" width="9" style="256"/>
    <col min="16380" max="16384" width="9.81666666666667" style="256"/>
  </cols>
  <sheetData>
    <row r="1" s="256" customFormat="1" ht="30" customHeight="1" spans="1:19">
      <c r="A1" s="257"/>
      <c r="B1" s="258" t="s">
        <v>0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7"/>
      <c r="N1" s="257"/>
      <c r="O1" s="257"/>
      <c r="P1" s="257"/>
      <c r="Q1" s="257"/>
      <c r="R1" s="257"/>
      <c r="S1" s="257"/>
    </row>
    <row r="2" s="256" customFormat="1" ht="12" customHeight="1" spans="1:19">
      <c r="A2" s="257"/>
      <c r="B2" s="260"/>
      <c r="C2" s="261"/>
      <c r="D2" s="261"/>
      <c r="E2" s="261"/>
      <c r="F2" s="261"/>
      <c r="G2" s="261"/>
      <c r="H2" s="261"/>
      <c r="I2" s="261"/>
      <c r="J2" s="261"/>
      <c r="K2" s="261"/>
      <c r="L2" s="262"/>
      <c r="M2" s="257"/>
      <c r="N2" s="257"/>
      <c r="O2" s="257"/>
      <c r="P2" s="257"/>
      <c r="Q2" s="257"/>
      <c r="R2" s="257"/>
      <c r="S2" s="257"/>
    </row>
    <row r="3" s="256" customFormat="1" ht="12" customHeight="1" spans="1:19">
      <c r="A3" s="257"/>
      <c r="B3" s="263"/>
      <c r="C3" s="264"/>
      <c r="D3" s="264"/>
      <c r="E3" s="264"/>
      <c r="F3" s="264"/>
      <c r="G3" s="264"/>
      <c r="H3" s="264"/>
      <c r="I3" s="264"/>
      <c r="J3" s="264"/>
      <c r="K3" s="264"/>
      <c r="L3" s="265"/>
      <c r="M3" s="257"/>
      <c r="N3" s="257"/>
      <c r="O3" s="257"/>
      <c r="P3" s="257"/>
      <c r="Q3" s="257"/>
      <c r="R3" s="257"/>
      <c r="S3" s="257"/>
    </row>
    <row r="4" s="256" customFormat="1" ht="12" customHeight="1" spans="1:19">
      <c r="A4" s="257"/>
      <c r="B4" s="263"/>
      <c r="C4" s="264"/>
      <c r="D4" s="264"/>
      <c r="E4" s="264"/>
      <c r="F4" s="264"/>
      <c r="G4" s="264"/>
      <c r="H4" s="264"/>
      <c r="I4" s="264"/>
      <c r="J4" s="264"/>
      <c r="K4" s="264"/>
      <c r="L4" s="265"/>
      <c r="M4" s="257"/>
      <c r="N4" s="257"/>
      <c r="O4" s="257"/>
      <c r="P4" s="257"/>
      <c r="Q4" s="257"/>
      <c r="R4" s="257"/>
      <c r="S4" s="257"/>
    </row>
    <row r="5" s="256" customFormat="1" ht="11.15" customHeight="1" spans="1:19">
      <c r="A5" s="257"/>
      <c r="B5" s="263"/>
      <c r="C5" s="264"/>
      <c r="D5" s="264"/>
      <c r="E5" s="264"/>
      <c r="F5" s="264"/>
      <c r="G5" s="264"/>
      <c r="H5" s="264"/>
      <c r="I5" s="264"/>
      <c r="J5" s="264"/>
      <c r="K5" s="264"/>
      <c r="L5" s="265"/>
      <c r="M5" s="257"/>
      <c r="N5" s="257"/>
      <c r="O5" s="257"/>
      <c r="P5" s="257"/>
      <c r="Q5" s="257"/>
      <c r="R5" s="257"/>
      <c r="S5" s="257"/>
    </row>
    <row r="6" s="256" customFormat="1" ht="9" customHeight="1" spans="1:19">
      <c r="A6" s="257"/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5"/>
      <c r="M6" s="257"/>
      <c r="N6" s="257"/>
      <c r="O6" s="257"/>
      <c r="P6" s="257"/>
      <c r="Q6" s="257"/>
      <c r="R6" s="257"/>
      <c r="S6" s="257"/>
    </row>
    <row r="7" s="256" customFormat="1" ht="13" customHeight="1" spans="1:19">
      <c r="A7" s="257"/>
      <c r="B7" s="263"/>
      <c r="C7" s="264"/>
      <c r="D7" s="264"/>
      <c r="E7" s="264"/>
      <c r="F7" s="264"/>
      <c r="G7" s="264"/>
      <c r="H7" s="264"/>
      <c r="I7" s="264"/>
      <c r="J7" s="264"/>
      <c r="K7" s="264"/>
      <c r="L7" s="265"/>
      <c r="M7" s="257"/>
      <c r="N7" s="257"/>
      <c r="O7" s="257"/>
      <c r="P7" s="257"/>
      <c r="Q7" s="257"/>
      <c r="R7" s="257"/>
      <c r="S7" s="257"/>
    </row>
    <row r="8" s="256" customFormat="1" ht="19" customHeight="1" spans="1:19">
      <c r="A8" s="257"/>
      <c r="B8" s="263"/>
      <c r="C8" s="264"/>
      <c r="D8" s="264"/>
      <c r="E8" s="264"/>
      <c r="F8" s="264"/>
      <c r="G8" s="264"/>
      <c r="H8" s="264"/>
      <c r="I8" s="264"/>
      <c r="J8" s="264"/>
      <c r="K8" s="264"/>
      <c r="L8" s="265"/>
      <c r="M8" s="257"/>
      <c r="N8" s="257"/>
      <c r="O8" s="257"/>
      <c r="P8" s="257"/>
      <c r="Q8" s="257"/>
      <c r="R8" s="257"/>
      <c r="S8" s="257"/>
    </row>
    <row r="9" s="256" customFormat="1" ht="5" customHeight="1" spans="1:19">
      <c r="A9" s="257"/>
      <c r="B9" s="263"/>
      <c r="C9" s="264"/>
      <c r="D9" s="264"/>
      <c r="E9" s="264"/>
      <c r="F9" s="264"/>
      <c r="G9" s="264"/>
      <c r="H9" s="264"/>
      <c r="I9" s="264"/>
      <c r="J9" s="264"/>
      <c r="K9" s="264"/>
      <c r="L9" s="265"/>
      <c r="M9" s="257"/>
      <c r="N9" s="257"/>
      <c r="O9" s="257"/>
      <c r="P9" s="257"/>
      <c r="Q9" s="257"/>
      <c r="R9" s="257"/>
      <c r="S9" s="257"/>
    </row>
    <row r="10" s="256" customFormat="1" ht="19" hidden="1" customHeight="1" spans="1:19">
      <c r="A10" s="257"/>
      <c r="B10" s="263"/>
      <c r="C10" s="264"/>
      <c r="D10" s="264"/>
      <c r="E10" s="264"/>
      <c r="F10" s="264"/>
      <c r="G10" s="264"/>
      <c r="H10" s="264"/>
      <c r="I10" s="264"/>
      <c r="J10" s="264"/>
      <c r="K10" s="264"/>
      <c r="L10" s="265"/>
      <c r="M10" s="257"/>
      <c r="N10" s="257"/>
      <c r="O10" s="257"/>
      <c r="P10" s="257"/>
      <c r="Q10" s="257"/>
      <c r="R10" s="257"/>
      <c r="S10" s="257"/>
    </row>
    <row r="11" s="256" customFormat="1" ht="19" hidden="1" customHeight="1" spans="1:19">
      <c r="A11" s="257"/>
      <c r="B11" s="263"/>
      <c r="C11" s="264"/>
      <c r="D11" s="264"/>
      <c r="E11" s="264"/>
      <c r="F11" s="264"/>
      <c r="G11" s="264"/>
      <c r="H11" s="264"/>
      <c r="I11" s="264"/>
      <c r="J11" s="264"/>
      <c r="K11" s="264"/>
      <c r="L11" s="265"/>
      <c r="M11" s="257"/>
      <c r="N11" s="257"/>
      <c r="O11" s="257"/>
      <c r="P11" s="257"/>
      <c r="Q11" s="257"/>
      <c r="R11" s="257"/>
      <c r="S11" s="257"/>
    </row>
    <row r="12" s="256" customFormat="1" ht="19" hidden="1" customHeight="1" spans="1:19">
      <c r="A12" s="257"/>
      <c r="B12" s="263"/>
      <c r="C12" s="266"/>
      <c r="D12" s="266"/>
      <c r="E12" s="266"/>
      <c r="F12" s="266"/>
      <c r="G12" s="266"/>
      <c r="H12" s="266"/>
      <c r="I12" s="266"/>
      <c r="J12" s="266"/>
      <c r="K12" s="266"/>
      <c r="L12" s="265"/>
      <c r="M12" s="257"/>
      <c r="N12" s="257"/>
      <c r="O12" s="257"/>
      <c r="P12" s="257"/>
      <c r="Q12" s="257"/>
      <c r="R12" s="257"/>
      <c r="S12" s="257"/>
    </row>
    <row r="13" s="256" customFormat="1" ht="39" customHeight="1" spans="1:19">
      <c r="A13" s="257"/>
      <c r="B13" s="263"/>
      <c r="C13" s="266"/>
      <c r="D13" s="266"/>
      <c r="E13" s="266"/>
      <c r="F13" s="266"/>
      <c r="G13" s="266"/>
      <c r="H13" s="266"/>
      <c r="I13" s="266"/>
      <c r="J13" s="266"/>
      <c r="K13" s="266"/>
      <c r="L13" s="265"/>
      <c r="M13" s="257"/>
      <c r="N13" s="257"/>
      <c r="O13" s="257"/>
      <c r="P13" s="257"/>
      <c r="Q13" s="257"/>
      <c r="R13" s="257"/>
      <c r="S13" s="257"/>
    </row>
    <row r="14" s="256" customFormat="1" ht="24" customHeight="1" spans="1:19">
      <c r="A14" s="257"/>
      <c r="B14" s="267"/>
      <c r="C14" s="268"/>
      <c r="D14" s="268"/>
      <c r="E14" s="268"/>
      <c r="F14" s="268"/>
      <c r="G14" s="268"/>
      <c r="H14" s="268"/>
      <c r="I14" s="268"/>
      <c r="J14" s="268"/>
      <c r="K14" s="268"/>
      <c r="L14" s="269"/>
      <c r="M14" s="257"/>
      <c r="N14" s="257"/>
      <c r="O14" s="270"/>
      <c r="P14" s="270"/>
      <c r="Q14" s="257"/>
      <c r="R14" s="257"/>
      <c r="S14" s="257"/>
    </row>
    <row r="15" s="256" customFormat="1" ht="50" customHeight="1" spans="1:19">
      <c r="A15" s="257"/>
      <c r="B15" s="271" t="s">
        <v>1</v>
      </c>
      <c r="C15" s="272"/>
      <c r="D15" s="272"/>
      <c r="E15" s="272"/>
      <c r="F15" s="272"/>
      <c r="G15" s="272"/>
      <c r="H15" s="272"/>
      <c r="I15" s="272"/>
      <c r="J15" s="272"/>
      <c r="K15" s="272"/>
      <c r="L15" s="273"/>
      <c r="M15" s="257"/>
      <c r="N15" s="257"/>
      <c r="O15" s="270"/>
      <c r="P15" s="270"/>
      <c r="Q15" s="257"/>
      <c r="R15" s="257"/>
      <c r="S15" s="257"/>
    </row>
    <row r="16" s="256" customFormat="1" ht="18.75" spans="1:19">
      <c r="A16" s="257"/>
      <c r="B16" s="274" t="s">
        <v>2</v>
      </c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57"/>
      <c r="N16" s="257"/>
      <c r="O16" s="270"/>
      <c r="P16" s="270"/>
      <c r="Q16" s="257"/>
      <c r="R16" s="257"/>
      <c r="S16" s="257"/>
    </row>
    <row r="17" s="256" customFormat="1" spans="1:19">
      <c r="A17" s="257"/>
      <c r="B17" s="276" t="s">
        <v>3</v>
      </c>
      <c r="C17" s="277"/>
      <c r="D17" s="277"/>
      <c r="E17" s="277"/>
      <c r="F17" s="277"/>
      <c r="G17" s="277"/>
      <c r="H17" s="277"/>
      <c r="I17" s="277"/>
      <c r="J17" s="277"/>
      <c r="K17" s="277"/>
      <c r="L17" s="278"/>
      <c r="M17" s="257"/>
      <c r="N17" s="257"/>
      <c r="O17" s="270"/>
      <c r="P17" s="270"/>
      <c r="Q17" s="257"/>
      <c r="R17" s="257"/>
      <c r="S17" s="257"/>
    </row>
    <row r="18" s="256" customFormat="1" spans="1:19">
      <c r="A18" s="257"/>
      <c r="B18" s="279"/>
      <c r="C18" s="280"/>
      <c r="D18" s="280"/>
      <c r="E18" s="280"/>
      <c r="F18" s="280"/>
      <c r="G18" s="280"/>
      <c r="H18" s="280"/>
      <c r="I18" s="280"/>
      <c r="J18" s="280"/>
      <c r="K18" s="280"/>
      <c r="L18" s="281"/>
      <c r="M18" s="257"/>
      <c r="N18" s="257"/>
      <c r="O18" s="270"/>
      <c r="P18" s="270"/>
      <c r="Q18" s="257"/>
      <c r="R18" s="257"/>
      <c r="S18" s="257"/>
    </row>
    <row r="19" s="256" customFormat="1" spans="1:19">
      <c r="A19" s="257"/>
      <c r="B19" s="279"/>
      <c r="C19" s="280"/>
      <c r="D19" s="280"/>
      <c r="E19" s="280"/>
      <c r="F19" s="280"/>
      <c r="G19" s="280"/>
      <c r="H19" s="280"/>
      <c r="I19" s="280"/>
      <c r="J19" s="280"/>
      <c r="K19" s="280"/>
      <c r="L19" s="281"/>
      <c r="M19" s="257"/>
      <c r="N19" s="257"/>
      <c r="O19" s="257"/>
      <c r="P19" s="257"/>
      <c r="Q19" s="257"/>
      <c r="R19" s="257"/>
      <c r="S19" s="257"/>
    </row>
    <row r="20" s="256" customFormat="1" spans="1:19">
      <c r="A20" s="257"/>
      <c r="B20" s="279"/>
      <c r="C20" s="280"/>
      <c r="D20" s="280"/>
      <c r="E20" s="280"/>
      <c r="F20" s="280"/>
      <c r="G20" s="280"/>
      <c r="H20" s="280"/>
      <c r="I20" s="280"/>
      <c r="J20" s="280"/>
      <c r="K20" s="280"/>
      <c r="L20" s="281"/>
      <c r="M20" s="257"/>
      <c r="N20" s="257"/>
      <c r="O20" s="257"/>
      <c r="P20" s="257"/>
      <c r="Q20" s="257"/>
      <c r="R20" s="257"/>
      <c r="S20" s="257"/>
    </row>
    <row r="21" s="256" customFormat="1" spans="1:19">
      <c r="A21" s="257"/>
      <c r="B21" s="279"/>
      <c r="C21" s="280"/>
      <c r="D21" s="280"/>
      <c r="E21" s="280"/>
      <c r="F21" s="280"/>
      <c r="G21" s="280"/>
      <c r="H21" s="280"/>
      <c r="I21" s="280"/>
      <c r="J21" s="280"/>
      <c r="K21" s="280"/>
      <c r="L21" s="281"/>
      <c r="M21" s="257"/>
      <c r="N21" s="257"/>
      <c r="O21" s="257"/>
      <c r="P21" s="257"/>
      <c r="Q21" s="257"/>
      <c r="R21" s="257"/>
      <c r="S21" s="257"/>
    </row>
    <row r="22" s="256" customFormat="1" spans="1:19">
      <c r="A22" s="257"/>
      <c r="B22" s="279"/>
      <c r="C22" s="280"/>
      <c r="D22" s="280"/>
      <c r="E22" s="280"/>
      <c r="F22" s="280"/>
      <c r="G22" s="280"/>
      <c r="H22" s="280"/>
      <c r="I22" s="280"/>
      <c r="J22" s="280"/>
      <c r="K22" s="280"/>
      <c r="L22" s="281"/>
      <c r="M22" s="257"/>
      <c r="N22" s="257"/>
      <c r="O22" s="257"/>
      <c r="P22" s="257"/>
      <c r="Q22" s="257"/>
      <c r="R22" s="257"/>
      <c r="S22" s="257"/>
    </row>
    <row r="23" s="256" customFormat="1" ht="34" customHeight="1" spans="1:19">
      <c r="A23" s="257"/>
      <c r="B23" s="279"/>
      <c r="C23" s="280"/>
      <c r="D23" s="280"/>
      <c r="E23" s="280"/>
      <c r="F23" s="280"/>
      <c r="G23" s="280"/>
      <c r="H23" s="280"/>
      <c r="I23" s="280"/>
      <c r="J23" s="280"/>
      <c r="K23" s="280"/>
      <c r="L23" s="281"/>
      <c r="M23" s="257"/>
      <c r="N23" s="257"/>
      <c r="O23" s="257"/>
      <c r="P23" s="257"/>
      <c r="Q23" s="257"/>
      <c r="R23" s="257"/>
      <c r="S23" s="257"/>
    </row>
    <row r="24" s="256" customFormat="1" ht="19" customHeight="1" spans="1:19">
      <c r="A24" s="257"/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82"/>
      <c r="M24" s="257"/>
      <c r="N24" s="257"/>
      <c r="O24" s="257"/>
      <c r="P24" s="257"/>
      <c r="Q24" s="257"/>
      <c r="R24" s="257"/>
      <c r="S24" s="257"/>
    </row>
    <row r="25" s="256" customFormat="1" ht="24" customHeight="1" spans="1:19">
      <c r="A25" s="257"/>
      <c r="B25" s="283"/>
      <c r="C25" s="284"/>
      <c r="D25" s="284"/>
      <c r="E25" s="284"/>
      <c r="F25" s="284"/>
      <c r="G25" s="284"/>
      <c r="H25" s="284"/>
      <c r="I25" s="284"/>
      <c r="J25" s="284"/>
      <c r="K25" s="284"/>
      <c r="L25" s="285"/>
      <c r="M25" s="257"/>
      <c r="N25" s="257"/>
      <c r="O25" s="257"/>
      <c r="P25" s="257"/>
      <c r="Q25" s="257"/>
      <c r="R25" s="257"/>
      <c r="S25" s="257"/>
    </row>
    <row r="26" s="256" customFormat="1" ht="17.25" spans="1:19">
      <c r="A26" s="257"/>
      <c r="B26" s="283"/>
      <c r="C26" s="284"/>
      <c r="D26" s="284"/>
      <c r="E26" s="284"/>
      <c r="F26" s="284"/>
      <c r="G26" s="284"/>
      <c r="H26" s="284"/>
      <c r="I26" s="284"/>
      <c r="J26" s="284"/>
      <c r="K26" s="284"/>
      <c r="L26" s="285"/>
      <c r="M26" s="257"/>
      <c r="N26" s="257"/>
      <c r="O26" s="257"/>
      <c r="P26" s="257"/>
      <c r="Q26" s="257"/>
      <c r="R26" s="257"/>
      <c r="S26" s="257"/>
    </row>
    <row r="27" s="256" customFormat="1" ht="18.75" spans="1:19">
      <c r="A27" s="257"/>
      <c r="B27" s="286" t="s">
        <v>4</v>
      </c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57"/>
      <c r="N27" s="257"/>
      <c r="O27" s="257"/>
      <c r="P27" s="257"/>
      <c r="Q27" s="257"/>
      <c r="R27" s="257"/>
      <c r="S27" s="257"/>
    </row>
    <row r="28" s="256" customFormat="1" spans="1:19">
      <c r="A28" s="257"/>
      <c r="B28" s="288" t="s">
        <v>5</v>
      </c>
      <c r="C28" s="289"/>
      <c r="D28" s="289"/>
      <c r="E28" s="289"/>
      <c r="F28" s="289"/>
      <c r="G28" s="289"/>
      <c r="H28" s="289"/>
      <c r="I28" s="289"/>
      <c r="J28" s="289"/>
      <c r="K28" s="289"/>
      <c r="L28" s="290"/>
      <c r="M28" s="257"/>
      <c r="N28" s="257"/>
      <c r="O28" s="257"/>
      <c r="P28" s="257"/>
      <c r="Q28" s="257"/>
      <c r="R28" s="257"/>
      <c r="S28" s="257"/>
    </row>
    <row r="29" s="256" customFormat="1" spans="1:19">
      <c r="A29" s="257"/>
      <c r="B29" s="291"/>
      <c r="C29" s="292"/>
      <c r="D29" s="292"/>
      <c r="E29" s="292"/>
      <c r="F29" s="292"/>
      <c r="G29" s="292"/>
      <c r="H29" s="292"/>
      <c r="I29" s="292"/>
      <c r="J29" s="292"/>
      <c r="K29" s="292"/>
      <c r="L29" s="293"/>
      <c r="M29" s="257"/>
      <c r="N29" s="257"/>
      <c r="O29" s="257"/>
      <c r="P29" s="257"/>
      <c r="Q29" s="257"/>
      <c r="R29" s="257"/>
      <c r="S29" s="257"/>
    </row>
    <row r="30" s="256" customFormat="1" spans="1:19">
      <c r="A30" s="257"/>
      <c r="B30" s="291"/>
      <c r="C30" s="292"/>
      <c r="D30" s="292"/>
      <c r="E30" s="292"/>
      <c r="F30" s="292"/>
      <c r="G30" s="292"/>
      <c r="H30" s="292"/>
      <c r="I30" s="292"/>
      <c r="J30" s="292"/>
      <c r="K30" s="292"/>
      <c r="L30" s="293"/>
      <c r="M30" s="257"/>
      <c r="N30" s="257"/>
      <c r="O30" s="257"/>
      <c r="P30" s="257"/>
      <c r="Q30" s="257"/>
      <c r="R30" s="257"/>
      <c r="S30" s="257"/>
    </row>
    <row r="31" s="256" customFormat="1" spans="1:19">
      <c r="A31" s="257"/>
      <c r="B31" s="291"/>
      <c r="C31" s="292"/>
      <c r="D31" s="292"/>
      <c r="E31" s="292"/>
      <c r="F31" s="292"/>
      <c r="G31" s="292"/>
      <c r="H31" s="292"/>
      <c r="I31" s="292"/>
      <c r="J31" s="292"/>
      <c r="K31" s="292"/>
      <c r="L31" s="293"/>
      <c r="M31" s="257"/>
      <c r="N31" s="257"/>
      <c r="O31" s="257"/>
      <c r="P31" s="257"/>
      <c r="Q31" s="257"/>
      <c r="R31" s="257"/>
      <c r="S31" s="257"/>
    </row>
    <row r="32" s="256" customFormat="1" spans="1:19">
      <c r="A32" s="257"/>
      <c r="B32" s="291"/>
      <c r="C32" s="292"/>
      <c r="D32" s="292"/>
      <c r="E32" s="292"/>
      <c r="F32" s="292"/>
      <c r="G32" s="292"/>
      <c r="H32" s="292"/>
      <c r="I32" s="292"/>
      <c r="J32" s="292"/>
      <c r="K32" s="292"/>
      <c r="L32" s="293"/>
      <c r="M32" s="257"/>
      <c r="N32" s="257"/>
      <c r="O32" s="257"/>
      <c r="P32" s="257"/>
      <c r="Q32" s="257"/>
      <c r="R32" s="257"/>
      <c r="S32" s="257"/>
    </row>
    <row r="33" s="256" customFormat="1" spans="1:19">
      <c r="A33" s="257"/>
      <c r="B33" s="291"/>
      <c r="C33" s="292"/>
      <c r="D33" s="292"/>
      <c r="E33" s="292"/>
      <c r="F33" s="292"/>
      <c r="G33" s="292"/>
      <c r="H33" s="292"/>
      <c r="I33" s="292"/>
      <c r="J33" s="292"/>
      <c r="K33" s="292"/>
      <c r="L33" s="293"/>
      <c r="M33" s="257"/>
      <c r="N33" s="257"/>
      <c r="O33" s="257"/>
      <c r="P33" s="257"/>
      <c r="Q33" s="257"/>
      <c r="R33" s="257"/>
      <c r="S33" s="257"/>
    </row>
    <row r="34" s="256" customFormat="1" spans="1:19">
      <c r="A34" s="257"/>
      <c r="B34" s="291"/>
      <c r="C34" s="292"/>
      <c r="D34" s="292"/>
      <c r="E34" s="292"/>
      <c r="F34" s="292"/>
      <c r="G34" s="292"/>
      <c r="H34" s="292"/>
      <c r="I34" s="292"/>
      <c r="J34" s="292"/>
      <c r="K34" s="292"/>
      <c r="L34" s="293"/>
      <c r="M34" s="257"/>
      <c r="N34" s="257"/>
      <c r="O34" s="257"/>
      <c r="P34" s="257"/>
      <c r="Q34" s="257"/>
      <c r="R34" s="257"/>
      <c r="S34" s="257"/>
    </row>
    <row r="35" s="256" customFormat="1" spans="1:19">
      <c r="A35" s="257"/>
      <c r="B35" s="291"/>
      <c r="C35" s="292"/>
      <c r="D35" s="292"/>
      <c r="E35" s="292"/>
      <c r="F35" s="292"/>
      <c r="G35" s="292"/>
      <c r="H35" s="292"/>
      <c r="I35" s="292"/>
      <c r="J35" s="292"/>
      <c r="K35" s="292"/>
      <c r="L35" s="293"/>
      <c r="M35" s="257"/>
      <c r="N35" s="257"/>
      <c r="O35" s="257"/>
      <c r="P35" s="257"/>
      <c r="Q35" s="257"/>
      <c r="R35" s="257"/>
      <c r="S35" s="257"/>
    </row>
    <row r="36" s="256" customFormat="1" spans="1:19">
      <c r="A36" s="257"/>
      <c r="B36" s="291"/>
      <c r="C36" s="292"/>
      <c r="D36" s="292"/>
      <c r="E36" s="292"/>
      <c r="F36" s="292"/>
      <c r="G36" s="292"/>
      <c r="H36" s="292"/>
      <c r="I36" s="292"/>
      <c r="J36" s="292"/>
      <c r="K36" s="292"/>
      <c r="L36" s="293"/>
      <c r="M36" s="257"/>
      <c r="N36" s="257"/>
      <c r="O36" s="257"/>
      <c r="P36" s="257"/>
      <c r="Q36" s="257"/>
      <c r="R36" s="257"/>
      <c r="S36" s="257"/>
    </row>
    <row r="37" s="256" customFormat="1" spans="1:19">
      <c r="A37" s="257"/>
      <c r="B37" s="291"/>
      <c r="C37" s="292"/>
      <c r="D37" s="292"/>
      <c r="E37" s="292"/>
      <c r="F37" s="292"/>
      <c r="G37" s="292"/>
      <c r="H37" s="292"/>
      <c r="I37" s="292"/>
      <c r="J37" s="292"/>
      <c r="K37" s="292"/>
      <c r="L37" s="293"/>
      <c r="M37" s="257"/>
      <c r="N37" s="257"/>
      <c r="O37" s="257"/>
      <c r="P37" s="257"/>
      <c r="Q37" s="257"/>
      <c r="R37" s="257"/>
      <c r="S37" s="257"/>
    </row>
    <row r="38" s="256" customFormat="1" ht="17.25" spans="1:19">
      <c r="A38" s="257"/>
      <c r="B38" s="294"/>
      <c r="C38" s="295"/>
      <c r="D38" s="295"/>
      <c r="E38" s="295"/>
      <c r="F38" s="295"/>
      <c r="G38" s="295"/>
      <c r="H38" s="295"/>
      <c r="I38" s="295"/>
      <c r="J38" s="295"/>
      <c r="K38" s="295"/>
      <c r="L38" s="296"/>
      <c r="M38" s="257"/>
      <c r="N38" s="257"/>
      <c r="O38" s="257"/>
      <c r="P38" s="257"/>
      <c r="Q38" s="257"/>
      <c r="R38" s="257"/>
      <c r="S38" s="257"/>
    </row>
    <row r="39" s="256" customFormat="1" spans="1:19">
      <c r="A39" s="257"/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7"/>
    </row>
    <row r="40" s="256" customFormat="1" spans="1:19">
      <c r="A40" s="257"/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</row>
    <row r="41" s="256" customFormat="1" spans="1:19">
      <c r="A41" s="257"/>
      <c r="B41" s="257"/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</row>
    <row r="42" s="256" customFormat="1" spans="1:19">
      <c r="A42" s="257"/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</row>
    <row r="43" s="256" customFormat="1" spans="1:19">
      <c r="A43" s="257"/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</row>
    <row r="44" s="256" customFormat="1" spans="1:19">
      <c r="A44" s="257"/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</row>
    <row r="45" s="256" customFormat="1" spans="1:19">
      <c r="A45" s="257"/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7"/>
      <c r="P45" s="257"/>
      <c r="Q45" s="257"/>
      <c r="R45" s="257"/>
      <c r="S45" s="257"/>
    </row>
    <row r="46" s="256" customFormat="1" spans="1:19">
      <c r="A46" s="257"/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</row>
    <row r="47" s="256" customFormat="1" spans="1:19">
      <c r="A47" s="257"/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7"/>
    </row>
    <row r="48" s="256" customFormat="1" spans="1:19">
      <c r="A48" s="257"/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</row>
    <row r="49" s="256" customFormat="1" spans="1:20">
      <c r="A49" s="257"/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</row>
    <row r="50" s="256" customFormat="1" spans="1:20">
      <c r="A50" s="257"/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</row>
    <row r="51" s="256" customFormat="1" spans="1:20">
      <c r="A51" s="257"/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</row>
    <row r="52" s="256" customFormat="1" spans="1:20">
      <c r="A52" s="257"/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</row>
    <row r="53" s="256" customFormat="1" spans="1:20">
      <c r="A53" s="257"/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</row>
    <row r="54" s="256" customFormat="1" spans="1:20">
      <c r="A54" s="257"/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</row>
    <row r="55" s="256" customFormat="1" spans="1:20">
      <c r="A55" s="257"/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</row>
    <row r="56" s="256" customFormat="1" spans="1:20">
      <c r="A56" s="257"/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</row>
    <row r="57" s="256" customFormat="1" spans="1:20">
      <c r="A57" s="257"/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</row>
    <row r="58" s="256" customFormat="1" spans="1:20">
      <c r="A58" s="257"/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</row>
    <row r="59" s="256" customFormat="1" spans="1:20">
      <c r="A59" s="257"/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</row>
    <row r="60" s="256" customFormat="1" spans="1:20">
      <c r="A60" s="257"/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</row>
    <row r="61" s="256" customFormat="1" spans="1:20">
      <c r="A61" s="257"/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</row>
    <row r="62" s="256" customFormat="1" spans="1:20">
      <c r="A62" s="257"/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7"/>
      <c r="P62" s="257"/>
      <c r="Q62" s="257"/>
      <c r="R62" s="257"/>
      <c r="S62" s="257"/>
      <c r="T62" s="257"/>
    </row>
    <row r="63" s="256" customFormat="1" spans="1:20">
      <c r="A63" s="257"/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</row>
    <row r="64" s="256" customFormat="1" spans="1:20">
      <c r="A64" s="257"/>
      <c r="B64" s="257"/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</row>
    <row r="65" s="256" customFormat="1" spans="1:20">
      <c r="A65" s="257"/>
      <c r="B65" s="257"/>
      <c r="C65" s="257"/>
      <c r="D65" s="257"/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</row>
    <row r="66" s="256" customFormat="1" spans="1:20">
      <c r="A66" s="257"/>
      <c r="B66" s="257"/>
      <c r="C66" s="257"/>
      <c r="D66" s="257"/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</row>
    <row r="67" s="256" customFormat="1" spans="1:20">
      <c r="A67" s="257"/>
      <c r="B67" s="257"/>
      <c r="C67" s="257"/>
      <c r="D67" s="257"/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7"/>
      <c r="P67" s="257"/>
      <c r="Q67" s="257"/>
      <c r="R67" s="257"/>
      <c r="S67" s="257"/>
      <c r="T67" s="257"/>
    </row>
    <row r="68" s="256" customFormat="1" spans="1:20">
      <c r="A68" s="257"/>
      <c r="B68" s="257"/>
      <c r="C68" s="257"/>
      <c r="D68" s="257"/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7"/>
      <c r="P68" s="257"/>
      <c r="Q68" s="257"/>
      <c r="R68" s="257"/>
      <c r="S68" s="257"/>
      <c r="T68" s="257"/>
    </row>
    <row r="69" s="256" customFormat="1" spans="1:20">
      <c r="A69" s="257"/>
      <c r="B69" s="257"/>
      <c r="C69" s="257"/>
      <c r="D69" s="257"/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7"/>
      <c r="P69" s="257"/>
      <c r="Q69" s="257"/>
      <c r="R69" s="257"/>
      <c r="S69" s="257"/>
      <c r="T69" s="257"/>
    </row>
    <row r="70" s="256" customFormat="1" spans="1:20">
      <c r="A70" s="257"/>
      <c r="B70" s="257"/>
      <c r="C70" s="257"/>
      <c r="D70" s="257"/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7"/>
      <c r="P70" s="257"/>
      <c r="Q70" s="257"/>
      <c r="R70" s="257"/>
      <c r="S70" s="257"/>
      <c r="T70" s="257"/>
    </row>
    <row r="71" s="256" customFormat="1" spans="1:20">
      <c r="A71" s="257"/>
      <c r="B71" s="257"/>
      <c r="C71" s="257"/>
      <c r="D71" s="257"/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</row>
    <row r="72" s="256" customFormat="1" spans="1:20">
      <c r="A72" s="257"/>
      <c r="B72" s="257"/>
      <c r="C72" s="257"/>
      <c r="D72" s="257"/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</row>
    <row r="73" s="256" customFormat="1" spans="1:20">
      <c r="A73" s="257"/>
      <c r="B73" s="257"/>
      <c r="C73" s="257"/>
      <c r="D73" s="257"/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7"/>
      <c r="P73" s="257"/>
      <c r="Q73" s="257"/>
      <c r="R73" s="257"/>
      <c r="S73" s="257"/>
      <c r="T73" s="257"/>
    </row>
    <row r="74" spans="1:20">
      <c r="B74" s="257"/>
      <c r="C74" s="257"/>
      <c r="D74" s="257"/>
      <c r="E74" s="257"/>
      <c r="F74" s="257"/>
      <c r="G74" s="257"/>
      <c r="H74" s="257"/>
      <c r="I74" s="257"/>
      <c r="J74" s="257"/>
      <c r="K74" s="257"/>
      <c r="L74" s="257"/>
    </row>
    <row r="75" spans="1:20">
      <c r="B75" s="257"/>
      <c r="C75" s="257"/>
      <c r="D75" s="257"/>
      <c r="E75" s="257"/>
      <c r="F75" s="257"/>
      <c r="G75" s="257"/>
      <c r="H75" s="257"/>
      <c r="I75" s="257"/>
      <c r="J75" s="257"/>
      <c r="K75" s="257"/>
      <c r="L75" s="257"/>
    </row>
  </sheetData>
  <mergeCells count="7">
    <mergeCell ref="B1:L1"/>
    <mergeCell ref="B15:L15"/>
    <mergeCell ref="B16:L16"/>
    <mergeCell ref="B27:L27"/>
    <mergeCell ref="B2:L14"/>
    <mergeCell ref="B17:L26"/>
    <mergeCell ref="B28:L38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5"/>
  </sheetPr>
  <dimension ref="A1:X122"/>
  <sheetViews>
    <sheetView tabSelected="1" workbookViewId="0">
      <pane xSplit="4" ySplit="2" topLeftCell="E69" activePane="bottomRight" state="frozen"/>
      <selection/>
      <selection pane="topRight"/>
      <selection pane="bottomLeft"/>
      <selection pane="bottomRight" activeCell="E71" sqref="E71"/>
    </sheetView>
  </sheetViews>
  <sheetFormatPr defaultColWidth="9.81666666666667" defaultRowHeight="13.5"/>
  <cols>
    <col min="1" max="1" width="4.64166666666667" style="1" customWidth="1"/>
    <col min="2" max="2" width="7.625" style="2" customWidth="1"/>
    <col min="3" max="3" width="7.625" style="1" customWidth="1"/>
    <col min="4" max="4" width="14.7083333333333" style="171" customWidth="1"/>
    <col min="5" max="5" width="47.1083333333333" style="172" customWidth="1"/>
    <col min="6" max="6" width="14" style="1" customWidth="1"/>
    <col min="7" max="7" width="16.6666666666667" style="1" customWidth="1"/>
    <col min="8" max="8" width="16.1916666666667" style="4" customWidth="1"/>
    <col min="9" max="10" width="22.625" style="173" customWidth="1"/>
    <col min="11" max="13" width="8" style="1" customWidth="1"/>
    <col min="14" max="17" width="10.625" style="1" customWidth="1"/>
    <col min="18" max="18" width="15.625" style="163" customWidth="1"/>
    <col min="19" max="21" width="10.625" style="1" customWidth="1"/>
    <col min="22" max="22" width="18.375" style="1" customWidth="1"/>
    <col min="23" max="23" width="27.1416666666667" style="1" customWidth="1"/>
    <col min="24" max="24" width="8" style="1" customWidth="1"/>
    <col min="25" max="16379" width="9.64166666666667" style="1"/>
    <col min="16380" max="16384" width="9.81666666666667" style="1"/>
  </cols>
  <sheetData>
    <row r="1" s="1" customFormat="1" ht="70" customHeight="1" spans="1:24">
      <c r="A1" s="7" t="s">
        <v>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="164" customFormat="1" ht="30" customHeight="1" spans="1:24">
      <c r="A2" s="174" t="s">
        <v>7</v>
      </c>
      <c r="B2" s="175" t="s">
        <v>8</v>
      </c>
      <c r="C2" s="175" t="s">
        <v>9</v>
      </c>
      <c r="D2" s="174" t="s">
        <v>10</v>
      </c>
      <c r="E2" s="176" t="s">
        <v>11</v>
      </c>
      <c r="F2" s="175" t="s">
        <v>12</v>
      </c>
      <c r="G2" s="175" t="s">
        <v>13</v>
      </c>
      <c r="H2" s="174" t="s">
        <v>14</v>
      </c>
      <c r="I2" s="175" t="s">
        <v>15</v>
      </c>
      <c r="J2" s="175" t="s">
        <v>16</v>
      </c>
      <c r="K2" s="177" t="s">
        <v>17</v>
      </c>
      <c r="L2" s="177" t="s">
        <v>18</v>
      </c>
      <c r="M2" s="174" t="s">
        <v>19</v>
      </c>
      <c r="N2" s="174" t="s">
        <v>20</v>
      </c>
      <c r="O2" s="174" t="s">
        <v>21</v>
      </c>
      <c r="P2" s="174" t="s">
        <v>22</v>
      </c>
      <c r="Q2" s="174" t="s">
        <v>23</v>
      </c>
      <c r="R2" s="174" t="s">
        <v>24</v>
      </c>
      <c r="S2" s="174" t="s">
        <v>25</v>
      </c>
      <c r="T2" s="174" t="s">
        <v>26</v>
      </c>
      <c r="U2" s="174" t="s">
        <v>27</v>
      </c>
      <c r="V2" s="174" t="s">
        <v>28</v>
      </c>
      <c r="W2" s="174" t="s">
        <v>29</v>
      </c>
      <c r="X2" s="175" t="s">
        <v>30</v>
      </c>
    </row>
    <row r="3" s="165" customFormat="1" ht="25" customHeight="1" spans="1:24">
      <c r="A3" s="178"/>
      <c r="B3" s="178"/>
      <c r="C3" s="178"/>
      <c r="D3" s="178"/>
      <c r="E3" s="178"/>
      <c r="F3" s="178"/>
      <c r="G3" s="178"/>
      <c r="H3" s="178"/>
      <c r="I3" s="179"/>
      <c r="J3" s="179" t="s">
        <v>31</v>
      </c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</row>
    <row r="4" s="3" customFormat="1" ht="50" customHeight="1" spans="1:24">
      <c r="A4" s="180">
        <v>1</v>
      </c>
      <c r="B4" s="181"/>
      <c r="C4" s="182" t="str">
        <f>_xlfn.DISPIMG("ID_8B1A5379A37A4735923A64D5881D8A37",1)</f>
        <v>=DISPIMG("ID_8B1A5379A37A4735923A64D5881D8A37",1)</v>
      </c>
      <c r="D4" s="61" t="s">
        <v>32</v>
      </c>
      <c r="E4" s="183" t="s">
        <v>33</v>
      </c>
      <c r="F4" s="64">
        <v>47175740457</v>
      </c>
      <c r="G4" s="64" t="s">
        <v>34</v>
      </c>
      <c r="H4" s="64" t="s">
        <v>35</v>
      </c>
      <c r="I4" s="116" t="s">
        <v>36</v>
      </c>
      <c r="J4" s="116" t="s">
        <v>37</v>
      </c>
      <c r="K4" s="157">
        <v>2664.9</v>
      </c>
      <c r="L4" s="157">
        <v>4.7</v>
      </c>
      <c r="M4" s="157">
        <v>0.1</v>
      </c>
      <c r="N4" s="184">
        <v>1800000</v>
      </c>
      <c r="O4" s="184"/>
      <c r="P4" s="184"/>
      <c r="Q4" s="184" t="s">
        <v>38</v>
      </c>
      <c r="R4" s="184" t="s">
        <v>39</v>
      </c>
      <c r="S4" s="184" t="s">
        <v>40</v>
      </c>
      <c r="T4" s="184" t="s">
        <v>41</v>
      </c>
      <c r="U4" s="184" t="s">
        <v>42</v>
      </c>
      <c r="V4" s="116" t="s">
        <v>43</v>
      </c>
      <c r="W4" s="64" t="s">
        <v>44</v>
      </c>
      <c r="X4" s="64" t="s">
        <v>45</v>
      </c>
    </row>
    <row r="5" s="3" customFormat="1" ht="50" customHeight="1" spans="1:24">
      <c r="A5" s="185">
        <v>2</v>
      </c>
      <c r="B5" s="135"/>
      <c r="C5" s="66" t="str">
        <f>_xlfn.DISPIMG("ID_1B287FA49F4D4C84ABAE18518A42102C",1)</f>
        <v>=DISPIMG("ID_1B287FA49F4D4C84ABAE18518A42102C",1)</v>
      </c>
      <c r="D5" s="66" t="s">
        <v>46</v>
      </c>
      <c r="E5" s="186" t="s">
        <v>47</v>
      </c>
      <c r="F5" s="113">
        <v>98930372371</v>
      </c>
      <c r="G5" s="187" t="s">
        <v>48</v>
      </c>
      <c r="H5" s="187" t="s">
        <v>49</v>
      </c>
      <c r="I5" s="108" t="s">
        <v>50</v>
      </c>
      <c r="J5" s="297" t="s">
        <v>51</v>
      </c>
      <c r="K5" s="188">
        <v>39.2</v>
      </c>
      <c r="L5" s="188" t="s">
        <v>40</v>
      </c>
      <c r="M5" s="188" t="s">
        <v>40</v>
      </c>
      <c r="N5" s="156">
        <v>300000</v>
      </c>
      <c r="O5" s="156"/>
      <c r="P5" s="156"/>
      <c r="Q5" s="156" t="s">
        <v>40</v>
      </c>
      <c r="R5" s="189" t="s">
        <v>40</v>
      </c>
      <c r="S5" s="156" t="s">
        <v>40</v>
      </c>
      <c r="T5" s="189" t="s">
        <v>52</v>
      </c>
      <c r="U5" s="189" t="s">
        <v>53</v>
      </c>
      <c r="V5" s="108" t="s">
        <v>54</v>
      </c>
      <c r="W5" s="113" t="s">
        <v>40</v>
      </c>
      <c r="X5" s="113" t="s">
        <v>45</v>
      </c>
    </row>
    <row r="6" s="166" customFormat="1" ht="25" customHeight="1" spans="1:24">
      <c r="A6" s="130"/>
      <c r="B6" s="130"/>
      <c r="C6" s="130"/>
      <c r="D6" s="130"/>
      <c r="E6" s="130"/>
      <c r="F6" s="130"/>
      <c r="G6" s="130"/>
      <c r="H6" s="130"/>
      <c r="I6" s="190"/>
      <c r="J6" s="191" t="s">
        <v>55</v>
      </c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</row>
    <row r="7" s="1" customFormat="1" ht="50" customHeight="1" spans="1:24">
      <c r="A7" s="180">
        <v>3</v>
      </c>
      <c r="B7" s="124" t="s">
        <v>56</v>
      </c>
      <c r="C7" s="61" t="str">
        <f>_xlfn.DISPIMG("ID_659725E2044440AC98B018E5EF985A4F",1)</f>
        <v>=DISPIMG("ID_659725E2044440AC98B018E5EF985A4F",1)</v>
      </c>
      <c r="D7" s="61" t="s">
        <v>57</v>
      </c>
      <c r="E7" s="192" t="s">
        <v>58</v>
      </c>
      <c r="F7" s="64" t="s">
        <v>59</v>
      </c>
      <c r="G7" s="64" t="s">
        <v>60</v>
      </c>
      <c r="H7" s="116" t="s">
        <v>61</v>
      </c>
      <c r="I7" s="116" t="s">
        <v>62</v>
      </c>
      <c r="J7" s="298" t="s">
        <v>63</v>
      </c>
      <c r="K7" s="157">
        <v>321.5</v>
      </c>
      <c r="L7" s="157">
        <v>129.6</v>
      </c>
      <c r="M7" s="157">
        <v>8</v>
      </c>
      <c r="N7" s="158">
        <v>178000</v>
      </c>
      <c r="O7" s="158">
        <v>220000</v>
      </c>
      <c r="P7" s="158">
        <v>220000</v>
      </c>
      <c r="Q7" s="158" t="s">
        <v>40</v>
      </c>
      <c r="R7" s="184" t="s">
        <v>64</v>
      </c>
      <c r="S7" s="158" t="s">
        <v>40</v>
      </c>
      <c r="T7" s="25" t="s">
        <v>65</v>
      </c>
      <c r="U7" s="25" t="s">
        <v>66</v>
      </c>
      <c r="V7" s="116" t="s">
        <v>67</v>
      </c>
      <c r="W7" s="64" t="s">
        <v>68</v>
      </c>
      <c r="X7" s="64" t="s">
        <v>45</v>
      </c>
    </row>
    <row r="8" s="1" customFormat="1" ht="50" customHeight="1" spans="1:24">
      <c r="A8" s="185">
        <v>4</v>
      </c>
      <c r="B8" s="193" t="s">
        <v>56</v>
      </c>
      <c r="C8" s="194" t="str">
        <f>_xlfn.DISPIMG("ID_B5EF5E77D86345B7A9A6A02B63F067DE",1)</f>
        <v>=DISPIMG("ID_B5EF5E77D86345B7A9A6A02B63F067DE",1)</v>
      </c>
      <c r="D8" s="66" t="s">
        <v>69</v>
      </c>
      <c r="E8" s="186" t="s">
        <v>70</v>
      </c>
      <c r="F8" s="113" t="s">
        <v>71</v>
      </c>
      <c r="G8" s="113" t="s">
        <v>72</v>
      </c>
      <c r="H8" s="113" t="s">
        <v>73</v>
      </c>
      <c r="I8" s="108" t="s">
        <v>74</v>
      </c>
      <c r="J8" s="297" t="s">
        <v>75</v>
      </c>
      <c r="K8" s="188">
        <v>179.8</v>
      </c>
      <c r="L8" s="188">
        <v>239.4</v>
      </c>
      <c r="M8" s="188">
        <v>15.4</v>
      </c>
      <c r="N8" s="189">
        <v>160000</v>
      </c>
      <c r="O8" s="189">
        <v>228000</v>
      </c>
      <c r="P8" s="189">
        <v>348000</v>
      </c>
      <c r="Q8" s="189" t="s">
        <v>40</v>
      </c>
      <c r="R8" s="189" t="s">
        <v>40</v>
      </c>
      <c r="S8" s="189" t="s">
        <v>40</v>
      </c>
      <c r="T8" s="189" t="s">
        <v>76</v>
      </c>
      <c r="U8" s="189" t="s">
        <v>77</v>
      </c>
      <c r="V8" s="108" t="s">
        <v>78</v>
      </c>
      <c r="W8" s="113" t="s">
        <v>79</v>
      </c>
      <c r="X8" s="113" t="s">
        <v>45</v>
      </c>
    </row>
    <row r="9" s="1" customFormat="1" ht="50" customHeight="1" spans="1:24">
      <c r="A9" s="195">
        <v>5</v>
      </c>
      <c r="B9" s="124" t="s">
        <v>56</v>
      </c>
      <c r="C9" s="23" t="str">
        <f>_xlfn.DISPIMG("ID_BF25C8DEAD444832BC4991F24EC25453",1)</f>
        <v>=DISPIMG("ID_BF25C8DEAD444832BC4991F24EC25453",1)</v>
      </c>
      <c r="D9" s="23" t="s">
        <v>80</v>
      </c>
      <c r="E9" s="192" t="s">
        <v>81</v>
      </c>
      <c r="F9" s="64" t="s">
        <v>82</v>
      </c>
      <c r="G9" s="64" t="s">
        <v>83</v>
      </c>
      <c r="H9" s="64" t="s">
        <v>84</v>
      </c>
      <c r="I9" s="116" t="s">
        <v>85</v>
      </c>
      <c r="J9" s="298" t="s">
        <v>86</v>
      </c>
      <c r="K9" s="157">
        <v>59.1</v>
      </c>
      <c r="L9" s="157">
        <v>15.4</v>
      </c>
      <c r="M9" s="157">
        <v>0.2</v>
      </c>
      <c r="N9" s="158">
        <v>53000</v>
      </c>
      <c r="O9" s="158">
        <v>58500</v>
      </c>
      <c r="P9" s="158">
        <v>65000</v>
      </c>
      <c r="Q9" s="158" t="s">
        <v>40</v>
      </c>
      <c r="R9" s="184" t="s">
        <v>40</v>
      </c>
      <c r="S9" s="158" t="s">
        <v>40</v>
      </c>
      <c r="T9" s="25" t="s">
        <v>87</v>
      </c>
      <c r="U9" s="25" t="s">
        <v>88</v>
      </c>
      <c r="V9" s="116" t="s">
        <v>89</v>
      </c>
      <c r="W9" s="64" t="s">
        <v>90</v>
      </c>
      <c r="X9" s="64" t="s">
        <v>45</v>
      </c>
    </row>
    <row r="10" s="164" customFormat="1" ht="30" customHeight="1" spans="1:24">
      <c r="A10" s="196"/>
      <c r="B10" s="197"/>
      <c r="C10" s="197"/>
      <c r="D10" s="196"/>
      <c r="E10" s="198"/>
      <c r="F10" s="197"/>
      <c r="G10" s="197"/>
      <c r="H10" s="196"/>
      <c r="I10" s="199"/>
      <c r="J10" s="199" t="s">
        <v>91</v>
      </c>
      <c r="K10" s="200"/>
      <c r="L10" s="200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7"/>
    </row>
    <row r="11" s="3" customFormat="1" ht="50" customHeight="1" spans="1:24">
      <c r="A11" s="185">
        <v>6</v>
      </c>
      <c r="B11" s="135" t="s">
        <v>92</v>
      </c>
      <c r="C11" s="194" t="str">
        <f>_xlfn.DISPIMG("ID_4803E5F9424443B5967CDA7C33CD5D67",1)</f>
        <v>=DISPIMG("ID_4803E5F9424443B5967CDA7C33CD5D67",1)</v>
      </c>
      <c r="D11" s="66" t="s">
        <v>93</v>
      </c>
      <c r="E11" s="186" t="s">
        <v>94</v>
      </c>
      <c r="F11" s="113">
        <v>906176249</v>
      </c>
      <c r="G11" s="187" t="s">
        <v>95</v>
      </c>
      <c r="H11" s="113" t="s">
        <v>96</v>
      </c>
      <c r="I11" s="108" t="s">
        <v>97</v>
      </c>
      <c r="J11" s="297" t="s">
        <v>98</v>
      </c>
      <c r="K11" s="188">
        <v>157.3</v>
      </c>
      <c r="L11" s="188">
        <v>146</v>
      </c>
      <c r="M11" s="188">
        <v>2.3</v>
      </c>
      <c r="N11" s="156">
        <v>320000</v>
      </c>
      <c r="O11" s="156">
        <v>350000</v>
      </c>
      <c r="P11" s="156">
        <v>380000</v>
      </c>
      <c r="Q11" s="156" t="s">
        <v>40</v>
      </c>
      <c r="R11" s="189" t="s">
        <v>40</v>
      </c>
      <c r="S11" s="156" t="s">
        <v>40</v>
      </c>
      <c r="T11" s="189" t="s">
        <v>99</v>
      </c>
      <c r="U11" s="189" t="s">
        <v>100</v>
      </c>
      <c r="V11" s="108" t="s">
        <v>101</v>
      </c>
      <c r="W11" s="113" t="s">
        <v>40</v>
      </c>
      <c r="X11" s="113" t="s">
        <v>45</v>
      </c>
    </row>
    <row r="12" s="3" customFormat="1" ht="50" customHeight="1" spans="1:24">
      <c r="A12" s="195">
        <v>7</v>
      </c>
      <c r="B12" s="124" t="s">
        <v>102</v>
      </c>
      <c r="C12" s="182" t="str">
        <f>_xlfn.DISPIMG("ID_98EF0EE3BD0548999CE698DFD5904591",1)</f>
        <v>=DISPIMG("ID_98EF0EE3BD0548999CE698DFD5904591",1)</v>
      </c>
      <c r="D12" s="61" t="s">
        <v>103</v>
      </c>
      <c r="E12" s="183" t="s">
        <v>104</v>
      </c>
      <c r="F12" s="64">
        <v>25847173020</v>
      </c>
      <c r="G12" s="64" t="s">
        <v>105</v>
      </c>
      <c r="H12" s="64" t="s">
        <v>106</v>
      </c>
      <c r="I12" s="116" t="s">
        <v>107</v>
      </c>
      <c r="J12" s="298" t="s">
        <v>108</v>
      </c>
      <c r="K12" s="157">
        <v>140.6</v>
      </c>
      <c r="L12" s="157">
        <v>127</v>
      </c>
      <c r="M12" s="157">
        <v>8.4</v>
      </c>
      <c r="N12" s="184">
        <v>30000</v>
      </c>
      <c r="O12" s="184">
        <v>40000</v>
      </c>
      <c r="P12" s="184">
        <v>50000</v>
      </c>
      <c r="Q12" s="184">
        <v>100000</v>
      </c>
      <c r="R12" s="184" t="s">
        <v>109</v>
      </c>
      <c r="S12" s="184" t="s">
        <v>40</v>
      </c>
      <c r="T12" s="184" t="s">
        <v>110</v>
      </c>
      <c r="U12" s="184" t="s">
        <v>111</v>
      </c>
      <c r="V12" s="116" t="s">
        <v>112</v>
      </c>
      <c r="W12" s="64" t="s">
        <v>113</v>
      </c>
      <c r="X12" s="64" t="s">
        <v>45</v>
      </c>
    </row>
    <row r="13" s="3" customFormat="1" ht="50" customHeight="1" spans="1:24">
      <c r="A13" s="185">
        <v>8</v>
      </c>
      <c r="B13" s="135" t="s">
        <v>114</v>
      </c>
      <c r="C13" s="66" t="str">
        <f>_xlfn.DISPIMG("ID_B284ADA6329E4ED1A300CD8D71344BAD",1)</f>
        <v>=DISPIMG("ID_B284ADA6329E4ED1A300CD8D71344BAD",1)</v>
      </c>
      <c r="D13" s="66" t="s">
        <v>115</v>
      </c>
      <c r="E13" s="186" t="s">
        <v>116</v>
      </c>
      <c r="F13" s="113">
        <v>67514482</v>
      </c>
      <c r="G13" s="187" t="s">
        <v>117</v>
      </c>
      <c r="H13" s="113" t="s">
        <v>118</v>
      </c>
      <c r="I13" s="108" t="s">
        <v>119</v>
      </c>
      <c r="J13" s="108" t="s">
        <v>120</v>
      </c>
      <c r="K13" s="188">
        <v>208.2</v>
      </c>
      <c r="L13" s="188">
        <v>115.9</v>
      </c>
      <c r="M13" s="188">
        <v>2.1</v>
      </c>
      <c r="N13" s="156">
        <v>48000</v>
      </c>
      <c r="O13" s="156">
        <v>60000</v>
      </c>
      <c r="P13" s="156">
        <v>70000</v>
      </c>
      <c r="Q13" s="156" t="s">
        <v>40</v>
      </c>
      <c r="R13" s="189" t="s">
        <v>40</v>
      </c>
      <c r="S13" s="156" t="s">
        <v>40</v>
      </c>
      <c r="T13" s="189" t="s">
        <v>121</v>
      </c>
      <c r="U13" s="189" t="s">
        <v>122</v>
      </c>
      <c r="V13" s="108" t="s">
        <v>123</v>
      </c>
      <c r="W13" s="113" t="s">
        <v>124</v>
      </c>
      <c r="X13" s="113" t="s">
        <v>45</v>
      </c>
    </row>
    <row r="14" s="3" customFormat="1" ht="50" customHeight="1" spans="1:24">
      <c r="A14" s="195">
        <v>9</v>
      </c>
      <c r="B14" s="124" t="s">
        <v>125</v>
      </c>
      <c r="C14" s="61" t="str">
        <f>_xlfn.DISPIMG("ID_ED073BEACC4B4289BE7B1955B90F4F9B",1)</f>
        <v>=DISPIMG("ID_ED073BEACC4B4289BE7B1955B90F4F9B",1)</v>
      </c>
      <c r="D14" s="61" t="s">
        <v>126</v>
      </c>
      <c r="E14" s="183" t="s">
        <v>127</v>
      </c>
      <c r="F14" s="64">
        <v>979163054</v>
      </c>
      <c r="G14" s="64" t="s">
        <v>128</v>
      </c>
      <c r="H14" s="64" t="s">
        <v>129</v>
      </c>
      <c r="I14" s="64" t="s">
        <v>130</v>
      </c>
      <c r="J14" s="298" t="s">
        <v>131</v>
      </c>
      <c r="K14" s="157">
        <v>166.3</v>
      </c>
      <c r="L14" s="157" t="s">
        <v>40</v>
      </c>
      <c r="M14" s="157">
        <v>48.2</v>
      </c>
      <c r="N14" s="184">
        <v>150000</v>
      </c>
      <c r="O14" s="184">
        <v>150000</v>
      </c>
      <c r="P14" s="184">
        <v>150000</v>
      </c>
      <c r="Q14" s="184" t="s">
        <v>40</v>
      </c>
      <c r="R14" s="184" t="s">
        <v>40</v>
      </c>
      <c r="S14" s="184" t="s">
        <v>40</v>
      </c>
      <c r="T14" s="184" t="s">
        <v>132</v>
      </c>
      <c r="U14" s="184" t="s">
        <v>133</v>
      </c>
      <c r="V14" s="116" t="s">
        <v>134</v>
      </c>
      <c r="W14" s="64" t="s">
        <v>135</v>
      </c>
      <c r="X14" s="64" t="s">
        <v>136</v>
      </c>
    </row>
    <row r="15" s="167" customFormat="1" ht="24" customHeight="1" spans="1:24">
      <c r="A15" s="201"/>
      <c r="B15" s="201"/>
      <c r="C15" s="201"/>
      <c r="D15" s="201"/>
      <c r="E15" s="201"/>
      <c r="F15" s="201"/>
      <c r="G15" s="201"/>
      <c r="H15" s="201"/>
      <c r="I15" s="202"/>
      <c r="J15" s="203" t="s">
        <v>137</v>
      </c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4"/>
      <c r="X15" s="204"/>
    </row>
    <row r="16" s="3" customFormat="1" ht="50" customHeight="1" spans="1:24">
      <c r="A16" s="195">
        <v>10</v>
      </c>
      <c r="B16" s="124" t="s">
        <v>138</v>
      </c>
      <c r="C16" s="205" t="str">
        <f>_xlfn.DISPIMG("ID_58F2FCD39BC540128C7BEAE2A0928024",1)</f>
        <v>=DISPIMG("ID_58F2FCD39BC540128C7BEAE2A0928024",1)</v>
      </c>
      <c r="D16" s="23" t="s">
        <v>139</v>
      </c>
      <c r="E16" s="206" t="s">
        <v>140</v>
      </c>
      <c r="F16" s="13" t="s">
        <v>141</v>
      </c>
      <c r="G16" s="207" t="s">
        <v>117</v>
      </c>
      <c r="H16" s="13" t="s">
        <v>142</v>
      </c>
      <c r="I16" s="16" t="s">
        <v>143</v>
      </c>
      <c r="J16" s="299" t="s">
        <v>144</v>
      </c>
      <c r="K16" s="27">
        <v>197.5</v>
      </c>
      <c r="L16" s="27">
        <v>127.1</v>
      </c>
      <c r="M16" s="27">
        <v>3.3</v>
      </c>
      <c r="N16" s="18">
        <v>60000</v>
      </c>
      <c r="O16" s="18">
        <v>70000</v>
      </c>
      <c r="P16" s="18">
        <v>70000</v>
      </c>
      <c r="Q16" s="18">
        <v>140000</v>
      </c>
      <c r="R16" s="25" t="s">
        <v>145</v>
      </c>
      <c r="S16" s="25" t="s">
        <v>146</v>
      </c>
      <c r="T16" s="25" t="s">
        <v>147</v>
      </c>
      <c r="U16" s="25" t="s">
        <v>148</v>
      </c>
      <c r="V16" s="16" t="s">
        <v>149</v>
      </c>
      <c r="W16" s="13" t="s">
        <v>150</v>
      </c>
      <c r="X16" s="13" t="s">
        <v>45</v>
      </c>
    </row>
    <row r="17" s="3" customFormat="1" ht="50" customHeight="1" spans="1:24">
      <c r="A17" s="208">
        <v>11</v>
      </c>
      <c r="B17" s="209" t="s">
        <v>138</v>
      </c>
      <c r="C17" s="210" t="str">
        <f>_xlfn.DISPIMG("ID_55B6BCB2A7AF4C7DB743E98788BAC790",1)</f>
        <v>=DISPIMG("ID_55B6BCB2A7AF4C7DB743E98788BAC790",1)</v>
      </c>
      <c r="D17" s="211" t="s">
        <v>151</v>
      </c>
      <c r="E17" s="186" t="s">
        <v>152</v>
      </c>
      <c r="F17" s="113">
        <v>97203305600</v>
      </c>
      <c r="G17" s="187" t="s">
        <v>153</v>
      </c>
      <c r="H17" s="113" t="s">
        <v>154</v>
      </c>
      <c r="I17" s="108" t="s">
        <v>155</v>
      </c>
      <c r="J17" s="297" t="s">
        <v>156</v>
      </c>
      <c r="K17" s="188">
        <v>19.9</v>
      </c>
      <c r="L17" s="188" t="s">
        <v>40</v>
      </c>
      <c r="M17" s="188" t="s">
        <v>40</v>
      </c>
      <c r="N17" s="156">
        <v>15000</v>
      </c>
      <c r="O17" s="156">
        <v>38000</v>
      </c>
      <c r="P17" s="156">
        <v>38000</v>
      </c>
      <c r="Q17" s="156" t="s">
        <v>40</v>
      </c>
      <c r="R17" s="189" t="s">
        <v>40</v>
      </c>
      <c r="S17" s="156" t="s">
        <v>40</v>
      </c>
      <c r="T17" s="189" t="s">
        <v>40</v>
      </c>
      <c r="U17" s="189" t="s">
        <v>40</v>
      </c>
      <c r="V17" s="108" t="s">
        <v>40</v>
      </c>
      <c r="W17" s="113" t="s">
        <v>157</v>
      </c>
      <c r="X17" s="113" t="s">
        <v>45</v>
      </c>
    </row>
    <row r="18" s="3" customFormat="1" ht="50" customHeight="1" spans="1:24">
      <c r="A18" s="195">
        <v>12</v>
      </c>
      <c r="B18" s="124" t="s">
        <v>138</v>
      </c>
      <c r="C18" s="205" t="str">
        <f>_xlfn.DISPIMG("ID_50033B3D41304000BA5BCCBE8CDA6F9D",1)</f>
        <v>=DISPIMG("ID_50033B3D41304000BA5BCCBE8CDA6F9D",1)</v>
      </c>
      <c r="D18" s="23" t="s">
        <v>158</v>
      </c>
      <c r="E18" s="206" t="s">
        <v>159</v>
      </c>
      <c r="F18" s="13">
        <v>62371145628</v>
      </c>
      <c r="G18" s="207" t="s">
        <v>160</v>
      </c>
      <c r="H18" s="13" t="s">
        <v>161</v>
      </c>
      <c r="I18" s="16" t="s">
        <v>162</v>
      </c>
      <c r="J18" s="16" t="s">
        <v>163</v>
      </c>
      <c r="K18" s="27">
        <v>14.1</v>
      </c>
      <c r="L18" s="27">
        <v>306.8</v>
      </c>
      <c r="M18" s="27">
        <v>6.5</v>
      </c>
      <c r="N18" s="18">
        <v>15000</v>
      </c>
      <c r="O18" s="18">
        <v>30000</v>
      </c>
      <c r="P18" s="18">
        <v>30000</v>
      </c>
      <c r="Q18" s="18" t="s">
        <v>40</v>
      </c>
      <c r="R18" s="25" t="s">
        <v>40</v>
      </c>
      <c r="S18" s="18" t="s">
        <v>40</v>
      </c>
      <c r="T18" s="25" t="s">
        <v>164</v>
      </c>
      <c r="U18" s="25" t="s">
        <v>165</v>
      </c>
      <c r="V18" s="16" t="s">
        <v>166</v>
      </c>
      <c r="W18" s="13" t="s">
        <v>167</v>
      </c>
      <c r="X18" s="13" t="s">
        <v>45</v>
      </c>
    </row>
    <row r="19" s="3" customFormat="1" ht="50" customHeight="1" spans="1:24">
      <c r="A19" s="208">
        <v>13</v>
      </c>
      <c r="B19" s="209" t="s">
        <v>138</v>
      </c>
      <c r="C19" s="210" t="str">
        <f>_xlfn.DISPIMG("ID_20EB524645A64250A82E41D66BAD8E4C",1)</f>
        <v>=DISPIMG("ID_20EB524645A64250A82E41D66BAD8E4C",1)</v>
      </c>
      <c r="D19" s="211" t="s">
        <v>168</v>
      </c>
      <c r="E19" s="186" t="s">
        <v>169</v>
      </c>
      <c r="F19" s="113" t="s">
        <v>170</v>
      </c>
      <c r="G19" s="187" t="s">
        <v>171</v>
      </c>
      <c r="H19" s="113" t="s">
        <v>172</v>
      </c>
      <c r="I19" s="108" t="s">
        <v>173</v>
      </c>
      <c r="J19" s="108" t="s">
        <v>174</v>
      </c>
      <c r="K19" s="188">
        <v>112</v>
      </c>
      <c r="L19" s="188">
        <v>305.2</v>
      </c>
      <c r="M19" s="188">
        <v>7.8</v>
      </c>
      <c r="N19" s="156">
        <v>17000</v>
      </c>
      <c r="O19" s="156">
        <v>30000</v>
      </c>
      <c r="P19" s="156">
        <v>40000</v>
      </c>
      <c r="Q19" s="156">
        <v>50000</v>
      </c>
      <c r="R19" s="189" t="s">
        <v>175</v>
      </c>
      <c r="S19" s="156" t="s">
        <v>40</v>
      </c>
      <c r="T19" s="189" t="s">
        <v>176</v>
      </c>
      <c r="U19" s="189" t="s">
        <v>177</v>
      </c>
      <c r="V19" s="108" t="s">
        <v>178</v>
      </c>
      <c r="W19" s="113" t="s">
        <v>179</v>
      </c>
      <c r="X19" s="113" t="s">
        <v>45</v>
      </c>
    </row>
    <row r="20" s="3" customFormat="1" ht="50" customHeight="1" spans="1:24">
      <c r="A20" s="195">
        <v>14</v>
      </c>
      <c r="B20" s="124" t="s">
        <v>138</v>
      </c>
      <c r="C20" s="205" t="str">
        <f>_xlfn.DISPIMG("ID_E612ACA65138477AA6E959FC6871AA0D",1)</f>
        <v>=DISPIMG("ID_E612ACA65138477AA6E959FC6871AA0D",1)</v>
      </c>
      <c r="D20" s="23" t="s">
        <v>180</v>
      </c>
      <c r="E20" s="206" t="s">
        <v>181</v>
      </c>
      <c r="F20" s="13" t="s">
        <v>182</v>
      </c>
      <c r="G20" s="207" t="s">
        <v>183</v>
      </c>
      <c r="H20" s="13" t="s">
        <v>184</v>
      </c>
      <c r="I20" s="16" t="s">
        <v>185</v>
      </c>
      <c r="J20" s="16" t="s">
        <v>186</v>
      </c>
      <c r="K20" s="27">
        <v>69.6</v>
      </c>
      <c r="L20" s="27">
        <v>12.1</v>
      </c>
      <c r="M20" s="27">
        <v>0.2</v>
      </c>
      <c r="N20" s="18">
        <v>25000</v>
      </c>
      <c r="O20" s="18">
        <v>35000</v>
      </c>
      <c r="P20" s="18">
        <v>50000</v>
      </c>
      <c r="Q20" s="18">
        <v>60000</v>
      </c>
      <c r="R20" s="25" t="s">
        <v>187</v>
      </c>
      <c r="S20" s="18" t="s">
        <v>40</v>
      </c>
      <c r="T20" s="25" t="s">
        <v>188</v>
      </c>
      <c r="U20" s="25" t="s">
        <v>189</v>
      </c>
      <c r="V20" s="16" t="s">
        <v>190</v>
      </c>
      <c r="W20" s="13" t="s">
        <v>191</v>
      </c>
      <c r="X20" s="13" t="s">
        <v>45</v>
      </c>
    </row>
    <row r="21" s="3" customFormat="1" ht="50" customHeight="1" spans="1:24">
      <c r="A21" s="208">
        <v>15</v>
      </c>
      <c r="B21" s="209" t="s">
        <v>138</v>
      </c>
      <c r="C21" s="210" t="str">
        <f>_xlfn.DISPIMG("ID_7E536C157BFD4F9ABED710D9123262B6",1)</f>
        <v>=DISPIMG("ID_7E536C157BFD4F9ABED710D9123262B6",1)</v>
      </c>
      <c r="D21" s="211" t="s">
        <v>192</v>
      </c>
      <c r="E21" s="186" t="s">
        <v>193</v>
      </c>
      <c r="F21" s="113" t="s">
        <v>194</v>
      </c>
      <c r="G21" s="187" t="s">
        <v>183</v>
      </c>
      <c r="H21" s="113" t="s">
        <v>195</v>
      </c>
      <c r="I21" s="108" t="s">
        <v>196</v>
      </c>
      <c r="J21" s="108" t="s">
        <v>197</v>
      </c>
      <c r="K21" s="188">
        <v>46.8</v>
      </c>
      <c r="L21" s="188" t="s">
        <v>40</v>
      </c>
      <c r="M21" s="188">
        <v>17.8</v>
      </c>
      <c r="N21" s="156">
        <v>32000</v>
      </c>
      <c r="O21" s="156">
        <v>36000</v>
      </c>
      <c r="P21" s="156">
        <v>45000</v>
      </c>
      <c r="Q21" s="156">
        <v>55000</v>
      </c>
      <c r="R21" s="189" t="s">
        <v>187</v>
      </c>
      <c r="S21" s="156" t="s">
        <v>40</v>
      </c>
      <c r="T21" s="189" t="s">
        <v>198</v>
      </c>
      <c r="U21" s="189" t="s">
        <v>199</v>
      </c>
      <c r="V21" s="108" t="s">
        <v>200</v>
      </c>
      <c r="W21" s="113" t="s">
        <v>201</v>
      </c>
      <c r="X21" s="113" t="s">
        <v>45</v>
      </c>
    </row>
    <row r="22" s="3" customFormat="1" ht="50" customHeight="1" spans="1:24">
      <c r="A22" s="195">
        <v>16</v>
      </c>
      <c r="B22" s="124" t="s">
        <v>138</v>
      </c>
      <c r="C22" s="205" t="str">
        <f>_xlfn.DISPIMG("ID_AE9EE02D9381402A8221747B347CE141",1)</f>
        <v>=DISPIMG("ID_AE9EE02D9381402A8221747B347CE141",1)</v>
      </c>
      <c r="D22" s="23" t="s">
        <v>202</v>
      </c>
      <c r="E22" s="206" t="s">
        <v>203</v>
      </c>
      <c r="F22" s="13" t="s">
        <v>204</v>
      </c>
      <c r="G22" s="207" t="s">
        <v>205</v>
      </c>
      <c r="H22" s="13" t="s">
        <v>206</v>
      </c>
      <c r="I22" s="16" t="s">
        <v>207</v>
      </c>
      <c r="J22" s="16" t="s">
        <v>208</v>
      </c>
      <c r="K22" s="27">
        <v>66.2</v>
      </c>
      <c r="L22" s="27">
        <v>239</v>
      </c>
      <c r="M22" s="27">
        <v>3.2</v>
      </c>
      <c r="N22" s="18">
        <v>25000</v>
      </c>
      <c r="O22" s="18">
        <v>30000</v>
      </c>
      <c r="P22" s="18">
        <v>50000</v>
      </c>
      <c r="Q22" s="18">
        <v>60000</v>
      </c>
      <c r="R22" s="25" t="s">
        <v>187</v>
      </c>
      <c r="S22" s="18" t="s">
        <v>40</v>
      </c>
      <c r="T22" s="25" t="s">
        <v>209</v>
      </c>
      <c r="U22" s="25" t="s">
        <v>210</v>
      </c>
      <c r="V22" s="16" t="s">
        <v>211</v>
      </c>
      <c r="W22" s="13" t="s">
        <v>212</v>
      </c>
      <c r="X22" s="13" t="s">
        <v>45</v>
      </c>
    </row>
    <row r="23" s="3" customFormat="1" ht="50" customHeight="1" spans="1:24">
      <c r="A23" s="208">
        <v>17</v>
      </c>
      <c r="B23" s="209" t="s">
        <v>138</v>
      </c>
      <c r="C23" s="210" t="str">
        <f>_xlfn.DISPIMG("ID_B1AF27D69EFC45A7AFD3F8470C2DF902",1)</f>
        <v>=DISPIMG("ID_B1AF27D69EFC45A7AFD3F8470C2DF902",1)</v>
      </c>
      <c r="D23" s="211" t="s">
        <v>213</v>
      </c>
      <c r="E23" s="186" t="s">
        <v>214</v>
      </c>
      <c r="F23" s="113" t="s">
        <v>215</v>
      </c>
      <c r="G23" s="187" t="s">
        <v>216</v>
      </c>
      <c r="H23" s="113" t="s">
        <v>217</v>
      </c>
      <c r="I23" s="108" t="s">
        <v>218</v>
      </c>
      <c r="J23" s="297" t="s">
        <v>219</v>
      </c>
      <c r="K23" s="188">
        <v>194.4</v>
      </c>
      <c r="L23" s="188">
        <v>422.3</v>
      </c>
      <c r="M23" s="188">
        <v>108.3</v>
      </c>
      <c r="N23" s="156">
        <v>20000</v>
      </c>
      <c r="O23" s="156">
        <v>30000</v>
      </c>
      <c r="P23" s="156">
        <v>40000</v>
      </c>
      <c r="Q23" s="156">
        <v>50000</v>
      </c>
      <c r="R23" s="189" t="s">
        <v>175</v>
      </c>
      <c r="S23" s="156" t="s">
        <v>40</v>
      </c>
      <c r="T23" s="189" t="s">
        <v>220</v>
      </c>
      <c r="U23" s="189" t="s">
        <v>221</v>
      </c>
      <c r="V23" s="108" t="s">
        <v>222</v>
      </c>
      <c r="W23" s="113" t="s">
        <v>223</v>
      </c>
      <c r="X23" s="113" t="s">
        <v>45</v>
      </c>
    </row>
    <row r="24" s="3" customFormat="1" ht="50" customHeight="1" spans="1:24">
      <c r="A24" s="195">
        <v>18</v>
      </c>
      <c r="B24" s="124" t="s">
        <v>138</v>
      </c>
      <c r="C24" s="205" t="str">
        <f>_xlfn.DISPIMG("ID_9313BA33A13741C3997400D039C6FB0D",1)</f>
        <v>=DISPIMG("ID_9313BA33A13741C3997400D039C6FB0D",1)</v>
      </c>
      <c r="D24" s="23" t="s">
        <v>224</v>
      </c>
      <c r="E24" s="206" t="s">
        <v>225</v>
      </c>
      <c r="F24" s="13" t="s">
        <v>226</v>
      </c>
      <c r="G24" s="207" t="s">
        <v>216</v>
      </c>
      <c r="H24" s="13" t="s">
        <v>227</v>
      </c>
      <c r="I24" s="16" t="s">
        <v>228</v>
      </c>
      <c r="J24" s="299" t="s">
        <v>229</v>
      </c>
      <c r="K24" s="27">
        <v>74.1</v>
      </c>
      <c r="L24" s="27">
        <v>444.8</v>
      </c>
      <c r="M24" s="27">
        <v>17.6</v>
      </c>
      <c r="N24" s="18">
        <v>12000</v>
      </c>
      <c r="O24" s="18">
        <v>20000</v>
      </c>
      <c r="P24" s="18">
        <v>25000</v>
      </c>
      <c r="Q24" s="18">
        <v>35000</v>
      </c>
      <c r="R24" s="25" t="s">
        <v>175</v>
      </c>
      <c r="S24" s="18" t="s">
        <v>40</v>
      </c>
      <c r="T24" s="25" t="s">
        <v>230</v>
      </c>
      <c r="U24" s="25" t="s">
        <v>231</v>
      </c>
      <c r="V24" s="16" t="s">
        <v>232</v>
      </c>
      <c r="W24" s="13" t="s">
        <v>233</v>
      </c>
      <c r="X24" s="13" t="s">
        <v>45</v>
      </c>
    </row>
    <row r="25" s="3" customFormat="1" ht="50" customHeight="1" spans="1:24">
      <c r="A25" s="208">
        <v>19</v>
      </c>
      <c r="B25" s="209" t="s">
        <v>234</v>
      </c>
      <c r="C25" s="210" t="str">
        <f>_xlfn.DISPIMG("ID_ACC5A9162EF34D1C82966AE35BC5288E",1)</f>
        <v>=DISPIMG("ID_ACC5A9162EF34D1C82966AE35BC5288E",1)</v>
      </c>
      <c r="D25" s="211" t="s">
        <v>235</v>
      </c>
      <c r="E25" s="186" t="s">
        <v>236</v>
      </c>
      <c r="F25" s="113" t="s">
        <v>237</v>
      </c>
      <c r="G25" s="187" t="s">
        <v>238</v>
      </c>
      <c r="H25" s="113" t="s">
        <v>239</v>
      </c>
      <c r="I25" s="108" t="s">
        <v>240</v>
      </c>
      <c r="J25" s="108" t="s">
        <v>241</v>
      </c>
      <c r="K25" s="188">
        <v>53</v>
      </c>
      <c r="L25" s="188">
        <v>304.8</v>
      </c>
      <c r="M25" s="188">
        <v>8.6</v>
      </c>
      <c r="N25" s="156">
        <v>20000</v>
      </c>
      <c r="O25" s="156">
        <v>28000</v>
      </c>
      <c r="P25" s="156">
        <v>30000</v>
      </c>
      <c r="Q25" s="156">
        <v>40000</v>
      </c>
      <c r="R25" s="189" t="s">
        <v>187</v>
      </c>
      <c r="S25" s="156">
        <v>28000</v>
      </c>
      <c r="T25" s="189" t="s">
        <v>242</v>
      </c>
      <c r="U25" s="189" t="s">
        <v>243</v>
      </c>
      <c r="V25" s="108" t="s">
        <v>244</v>
      </c>
      <c r="W25" s="113" t="s">
        <v>245</v>
      </c>
      <c r="X25" s="113" t="s">
        <v>45</v>
      </c>
    </row>
    <row r="26" s="165" customFormat="1" ht="25" customHeight="1" spans="1:24">
      <c r="A26" s="212"/>
      <c r="B26" s="212"/>
      <c r="C26" s="212"/>
      <c r="D26" s="212"/>
      <c r="E26" s="212"/>
      <c r="F26" s="212"/>
      <c r="G26" s="212"/>
      <c r="H26" s="212"/>
      <c r="I26" s="203"/>
      <c r="J26" s="203" t="s">
        <v>246</v>
      </c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</row>
    <row r="27" s="1" customFormat="1" ht="50" customHeight="1" spans="1:24">
      <c r="A27" s="185">
        <v>20</v>
      </c>
      <c r="B27" s="193"/>
      <c r="C27" s="66" t="str">
        <f>_xlfn.DISPIMG("ID_F2465015B1084BD0916D0D4A3FB710D5",1)</f>
        <v>=DISPIMG("ID_F2465015B1084BD0916D0D4A3FB710D5",1)</v>
      </c>
      <c r="D27" s="66" t="s">
        <v>247</v>
      </c>
      <c r="E27" s="213" t="s">
        <v>248</v>
      </c>
      <c r="F27" s="113" t="s">
        <v>249</v>
      </c>
      <c r="G27" s="108" t="s">
        <v>250</v>
      </c>
      <c r="H27" s="113" t="s">
        <v>251</v>
      </c>
      <c r="I27" s="108" t="s">
        <v>252</v>
      </c>
      <c r="J27" s="108" t="s">
        <v>253</v>
      </c>
      <c r="K27" s="188">
        <v>990.4</v>
      </c>
      <c r="L27" s="188">
        <v>120</v>
      </c>
      <c r="M27" s="188">
        <v>2.5</v>
      </c>
      <c r="N27" s="189">
        <v>158000</v>
      </c>
      <c r="O27" s="189">
        <v>178000</v>
      </c>
      <c r="P27" s="189">
        <v>188000</v>
      </c>
      <c r="Q27" s="189">
        <v>208000</v>
      </c>
      <c r="R27" s="189" t="s">
        <v>187</v>
      </c>
      <c r="S27" s="189">
        <v>230000</v>
      </c>
      <c r="T27" s="189" t="s">
        <v>254</v>
      </c>
      <c r="U27" s="189" t="s">
        <v>255</v>
      </c>
      <c r="V27" s="108" t="s">
        <v>256</v>
      </c>
      <c r="W27" s="113" t="s">
        <v>257</v>
      </c>
      <c r="X27" s="113" t="s">
        <v>45</v>
      </c>
    </row>
    <row r="28" s="1" customFormat="1" ht="50" customHeight="1" spans="1:24">
      <c r="A28" s="195">
        <v>21</v>
      </c>
      <c r="B28" s="23"/>
      <c r="C28" s="23" t="str">
        <f>_xlfn.DISPIMG("ID_539BCED200DC418DA80390830AE35518",1)</f>
        <v>=DISPIMG("ID_539BCED200DC418DA80390830AE35518",1)</v>
      </c>
      <c r="D28" s="23" t="s">
        <v>258</v>
      </c>
      <c r="E28" s="206" t="s">
        <v>259</v>
      </c>
      <c r="F28" s="13" t="s">
        <v>260</v>
      </c>
      <c r="G28" s="13" t="s">
        <v>250</v>
      </c>
      <c r="H28" s="13" t="s">
        <v>261</v>
      </c>
      <c r="I28" s="16" t="s">
        <v>262</v>
      </c>
      <c r="J28" s="16" t="s">
        <v>263</v>
      </c>
      <c r="K28" s="27">
        <v>561.2</v>
      </c>
      <c r="L28" s="27">
        <v>74.3</v>
      </c>
      <c r="M28" s="27">
        <v>1.5</v>
      </c>
      <c r="N28" s="18">
        <v>128000</v>
      </c>
      <c r="O28" s="18">
        <v>178000</v>
      </c>
      <c r="P28" s="18">
        <v>188000</v>
      </c>
      <c r="Q28" s="18">
        <v>250000</v>
      </c>
      <c r="R28" s="25" t="s">
        <v>187</v>
      </c>
      <c r="S28" s="18">
        <v>180000</v>
      </c>
      <c r="T28" s="25" t="s">
        <v>264</v>
      </c>
      <c r="U28" s="25" t="s">
        <v>265</v>
      </c>
      <c r="V28" s="16" t="s">
        <v>266</v>
      </c>
      <c r="W28" s="13" t="s">
        <v>267</v>
      </c>
      <c r="X28" s="13" t="s">
        <v>45</v>
      </c>
    </row>
    <row r="29" s="1" customFormat="1" ht="50" customHeight="1" spans="1:24">
      <c r="A29" s="185">
        <v>22</v>
      </c>
      <c r="B29" s="193"/>
      <c r="C29" s="66" t="str">
        <f>_xlfn.DISPIMG("ID_1BC942DF6B584A02B1D768100B32EF70",1)</f>
        <v>=DISPIMG("ID_1BC942DF6B584A02B1D768100B32EF70",1)</v>
      </c>
      <c r="D29" s="66" t="s">
        <v>268</v>
      </c>
      <c r="E29" s="213" t="s">
        <v>269</v>
      </c>
      <c r="F29" s="113" t="s">
        <v>270</v>
      </c>
      <c r="G29" s="108" t="s">
        <v>271</v>
      </c>
      <c r="H29" s="113" t="s">
        <v>272</v>
      </c>
      <c r="I29" s="108" t="s">
        <v>273</v>
      </c>
      <c r="J29" s="108" t="s">
        <v>274</v>
      </c>
      <c r="K29" s="188">
        <v>161.8</v>
      </c>
      <c r="L29" s="188">
        <v>197.1</v>
      </c>
      <c r="M29" s="188">
        <v>5.4</v>
      </c>
      <c r="N29" s="189" t="s">
        <v>40</v>
      </c>
      <c r="O29" s="189">
        <v>98000</v>
      </c>
      <c r="P29" s="189">
        <v>110000</v>
      </c>
      <c r="Q29" s="189">
        <v>130000</v>
      </c>
      <c r="R29" s="189" t="s">
        <v>187</v>
      </c>
      <c r="S29" s="189" t="s">
        <v>40</v>
      </c>
      <c r="T29" s="189" t="s">
        <v>275</v>
      </c>
      <c r="U29" s="189" t="s">
        <v>276</v>
      </c>
      <c r="V29" s="108" t="s">
        <v>277</v>
      </c>
      <c r="W29" s="113" t="s">
        <v>278</v>
      </c>
      <c r="X29" s="113" t="s">
        <v>45</v>
      </c>
    </row>
    <row r="30" s="1" customFormat="1" ht="50" customHeight="1" spans="1:24">
      <c r="A30" s="180">
        <v>23</v>
      </c>
      <c r="B30" s="61"/>
      <c r="C30" s="61" t="str">
        <f>_xlfn.DISPIMG("ID_318740AF549F4708BB02E02E05CFE37C",1)</f>
        <v>=DISPIMG("ID_318740AF549F4708BB02E02E05CFE37C",1)</v>
      </c>
      <c r="D30" s="61" t="s">
        <v>279</v>
      </c>
      <c r="E30" s="183" t="s">
        <v>280</v>
      </c>
      <c r="F30" s="64" t="s">
        <v>281</v>
      </c>
      <c r="G30" s="64" t="s">
        <v>282</v>
      </c>
      <c r="H30" s="64" t="s">
        <v>283</v>
      </c>
      <c r="I30" s="116" t="s">
        <v>284</v>
      </c>
      <c r="J30" s="116" t="s">
        <v>285</v>
      </c>
      <c r="K30" s="157">
        <v>533.8</v>
      </c>
      <c r="L30" s="157">
        <v>56.6</v>
      </c>
      <c r="M30" s="157">
        <v>1.5</v>
      </c>
      <c r="N30" s="158" t="s">
        <v>40</v>
      </c>
      <c r="O30" s="158">
        <v>268000</v>
      </c>
      <c r="P30" s="158">
        <v>288000</v>
      </c>
      <c r="Q30" s="158">
        <v>350000</v>
      </c>
      <c r="R30" s="184" t="s">
        <v>175</v>
      </c>
      <c r="S30" s="158">
        <v>268000</v>
      </c>
      <c r="T30" s="184" t="s">
        <v>286</v>
      </c>
      <c r="U30" s="184" t="s">
        <v>287</v>
      </c>
      <c r="V30" s="116" t="s">
        <v>288</v>
      </c>
      <c r="W30" s="64" t="s">
        <v>289</v>
      </c>
      <c r="X30" s="64" t="s">
        <v>45</v>
      </c>
    </row>
    <row r="31" s="1" customFormat="1" ht="50" customHeight="1" spans="1:24">
      <c r="A31" s="185">
        <v>24</v>
      </c>
      <c r="B31" s="193" t="s">
        <v>102</v>
      </c>
      <c r="C31" s="66" t="str">
        <f>_xlfn.DISPIMG("ID_B7B6362E77F24216A24BC824D61B0BF4",1)</f>
        <v>=DISPIMG("ID_B7B6362E77F24216A24BC824D61B0BF4",1)</v>
      </c>
      <c r="D31" s="66" t="s">
        <v>290</v>
      </c>
      <c r="E31" s="213" t="s">
        <v>291</v>
      </c>
      <c r="F31" s="113" t="s">
        <v>292</v>
      </c>
      <c r="G31" s="108" t="s">
        <v>293</v>
      </c>
      <c r="H31" s="108" t="s">
        <v>294</v>
      </c>
      <c r="I31" s="108" t="s">
        <v>295</v>
      </c>
      <c r="J31" s="297" t="s">
        <v>296</v>
      </c>
      <c r="K31" s="188">
        <v>113.5</v>
      </c>
      <c r="L31" s="188">
        <v>13.2</v>
      </c>
      <c r="M31" s="188">
        <v>0.5</v>
      </c>
      <c r="N31" s="189">
        <v>25000</v>
      </c>
      <c r="O31" s="189">
        <v>50000</v>
      </c>
      <c r="P31" s="189">
        <v>80000</v>
      </c>
      <c r="Q31" s="189" t="s">
        <v>40</v>
      </c>
      <c r="R31" s="189" t="s">
        <v>297</v>
      </c>
      <c r="S31" s="189" t="s">
        <v>40</v>
      </c>
      <c r="T31" s="189" t="s">
        <v>298</v>
      </c>
      <c r="U31" s="189" t="s">
        <v>299</v>
      </c>
      <c r="V31" s="108" t="s">
        <v>300</v>
      </c>
      <c r="W31" s="113" t="s">
        <v>301</v>
      </c>
      <c r="X31" s="113" t="s">
        <v>302</v>
      </c>
    </row>
    <row r="32" s="1" customFormat="1" ht="50" customHeight="1" spans="1:24">
      <c r="A32" s="180">
        <v>25</v>
      </c>
      <c r="B32" s="61"/>
      <c r="C32" s="61" t="str">
        <f>_xlfn.DISPIMG("ID_CFC7EBDA34574183B86BA9DB2E6A9DEE",1)</f>
        <v>=DISPIMG("ID_CFC7EBDA34574183B86BA9DB2E6A9DEE",1)</v>
      </c>
      <c r="D32" s="61" t="s">
        <v>303</v>
      </c>
      <c r="E32" s="183" t="s">
        <v>304</v>
      </c>
      <c r="F32" s="64">
        <v>330477638</v>
      </c>
      <c r="G32" s="64" t="s">
        <v>250</v>
      </c>
      <c r="H32" s="64" t="s">
        <v>305</v>
      </c>
      <c r="I32" s="116" t="s">
        <v>306</v>
      </c>
      <c r="J32" s="116" t="s">
        <v>307</v>
      </c>
      <c r="K32" s="157">
        <v>155.3</v>
      </c>
      <c r="L32" s="157">
        <v>225.3</v>
      </c>
      <c r="M32" s="157">
        <v>7.5</v>
      </c>
      <c r="N32" s="158" t="s">
        <v>40</v>
      </c>
      <c r="O32" s="158">
        <v>60000</v>
      </c>
      <c r="P32" s="158">
        <v>60000</v>
      </c>
      <c r="Q32" s="158">
        <v>60000</v>
      </c>
      <c r="R32" s="184" t="s">
        <v>175</v>
      </c>
      <c r="S32" s="158">
        <v>60000</v>
      </c>
      <c r="T32" s="184" t="s">
        <v>308</v>
      </c>
      <c r="U32" s="184" t="s">
        <v>309</v>
      </c>
      <c r="V32" s="116" t="s">
        <v>310</v>
      </c>
      <c r="W32" s="64" t="s">
        <v>311</v>
      </c>
      <c r="X32" s="64" t="s">
        <v>45</v>
      </c>
    </row>
    <row r="33" s="1" customFormat="1" ht="50" customHeight="1" spans="1:24">
      <c r="A33" s="185">
        <v>26</v>
      </c>
      <c r="B33" s="193" t="s">
        <v>312</v>
      </c>
      <c r="C33" s="66" t="str">
        <f>_xlfn.DISPIMG("ID_EEC77C4673CE40A2AA11F908ADC8ABA3",1)</f>
        <v>=DISPIMG("ID_EEC77C4673CE40A2AA11F908ADC8ABA3",1)</v>
      </c>
      <c r="D33" s="66" t="s">
        <v>313</v>
      </c>
      <c r="E33" s="213" t="s">
        <v>314</v>
      </c>
      <c r="F33" s="113" t="s">
        <v>315</v>
      </c>
      <c r="G33" s="108" t="s">
        <v>316</v>
      </c>
      <c r="H33" s="113" t="s">
        <v>317</v>
      </c>
      <c r="I33" s="108" t="s">
        <v>318</v>
      </c>
      <c r="J33" s="108" t="s">
        <v>319</v>
      </c>
      <c r="K33" s="188">
        <v>300.8</v>
      </c>
      <c r="L33" s="188">
        <v>745.5</v>
      </c>
      <c r="M33" s="188">
        <v>28.3</v>
      </c>
      <c r="N33" s="189">
        <v>35000</v>
      </c>
      <c r="O33" s="189">
        <v>55000</v>
      </c>
      <c r="P33" s="189">
        <v>60000</v>
      </c>
      <c r="Q33" s="189" t="s">
        <v>40</v>
      </c>
      <c r="R33" s="189" t="s">
        <v>40</v>
      </c>
      <c r="S33" s="189" t="s">
        <v>40</v>
      </c>
      <c r="T33" s="189" t="s">
        <v>275</v>
      </c>
      <c r="U33" s="189" t="s">
        <v>320</v>
      </c>
      <c r="V33" s="108" t="s">
        <v>321</v>
      </c>
      <c r="W33" s="113" t="s">
        <v>322</v>
      </c>
      <c r="X33" s="113" t="s">
        <v>323</v>
      </c>
    </row>
    <row r="34" s="168" customFormat="1" ht="50" customHeight="1" spans="1:24">
      <c r="A34" s="195">
        <v>27</v>
      </c>
      <c r="B34" s="124" t="s">
        <v>102</v>
      </c>
      <c r="C34" s="23" t="str">
        <f>_xlfn.DISPIMG("ID_D54C7699201241D3AFE0050FF29CC82A",1)</f>
        <v>=DISPIMG("ID_D54C7699201241D3AFE0050FF29CC82A",1)</v>
      </c>
      <c r="D34" s="23" t="s">
        <v>324</v>
      </c>
      <c r="E34" s="214" t="s">
        <v>325</v>
      </c>
      <c r="F34" s="13" t="s">
        <v>326</v>
      </c>
      <c r="G34" s="16" t="s">
        <v>327</v>
      </c>
      <c r="H34" s="13" t="s">
        <v>328</v>
      </c>
      <c r="I34" s="16" t="s">
        <v>329</v>
      </c>
      <c r="J34" s="16" t="s">
        <v>330</v>
      </c>
      <c r="K34" s="27">
        <v>162</v>
      </c>
      <c r="L34" s="27">
        <v>99.2</v>
      </c>
      <c r="M34" s="27">
        <v>2.4</v>
      </c>
      <c r="N34" s="25" t="s">
        <v>40</v>
      </c>
      <c r="O34" s="25">
        <v>60000</v>
      </c>
      <c r="P34" s="25">
        <v>60000</v>
      </c>
      <c r="Q34" s="25">
        <v>75000</v>
      </c>
      <c r="R34" s="25" t="s">
        <v>187</v>
      </c>
      <c r="S34" s="25" t="s">
        <v>40</v>
      </c>
      <c r="T34" s="25" t="s">
        <v>331</v>
      </c>
      <c r="U34" s="25" t="s">
        <v>332</v>
      </c>
      <c r="V34" s="16" t="s">
        <v>333</v>
      </c>
      <c r="W34" s="13" t="s">
        <v>334</v>
      </c>
      <c r="X34" s="13" t="s">
        <v>45</v>
      </c>
    </row>
    <row r="35" s="1" customFormat="1" ht="50" customHeight="1" spans="1:24">
      <c r="A35" s="185">
        <v>28</v>
      </c>
      <c r="B35" s="193"/>
      <c r="C35" s="66" t="str">
        <f>_xlfn.DISPIMG("ID_FB5A556B30DF49E09FF76CBE0B110A5E",1)</f>
        <v>=DISPIMG("ID_FB5A556B30DF49E09FF76CBE0B110A5E",1)</v>
      </c>
      <c r="D35" s="66" t="s">
        <v>335</v>
      </c>
      <c r="E35" s="213" t="s">
        <v>336</v>
      </c>
      <c r="F35" s="113" t="s">
        <v>337</v>
      </c>
      <c r="G35" s="108" t="s">
        <v>216</v>
      </c>
      <c r="H35" s="108" t="s">
        <v>338</v>
      </c>
      <c r="I35" s="108" t="s">
        <v>339</v>
      </c>
      <c r="J35" s="297" t="s">
        <v>340</v>
      </c>
      <c r="K35" s="188">
        <v>97.2</v>
      </c>
      <c r="L35" s="188">
        <v>69.6</v>
      </c>
      <c r="M35" s="188">
        <v>1.2</v>
      </c>
      <c r="N35" s="189">
        <v>40000</v>
      </c>
      <c r="O35" s="189">
        <v>45000</v>
      </c>
      <c r="P35" s="189">
        <v>50000</v>
      </c>
      <c r="Q35" s="189" t="s">
        <v>40</v>
      </c>
      <c r="R35" s="189" t="s">
        <v>40</v>
      </c>
      <c r="S35" s="189" t="s">
        <v>40</v>
      </c>
      <c r="T35" s="189" t="s">
        <v>341</v>
      </c>
      <c r="U35" s="189" t="s">
        <v>342</v>
      </c>
      <c r="V35" s="108" t="s">
        <v>343</v>
      </c>
      <c r="W35" s="113" t="s">
        <v>344</v>
      </c>
      <c r="X35" s="113" t="s">
        <v>323</v>
      </c>
    </row>
    <row r="36" s="168" customFormat="1" ht="50" customHeight="1" spans="1:24">
      <c r="A36" s="195">
        <v>29</v>
      </c>
      <c r="B36" s="124"/>
      <c r="C36" s="23" t="str">
        <f>_xlfn.DISPIMG("ID_F02F4A17A7024B73921EEC930E05E90D",1)</f>
        <v>=DISPIMG("ID_F02F4A17A7024B73921EEC930E05E90D",1)</v>
      </c>
      <c r="D36" s="23" t="s">
        <v>345</v>
      </c>
      <c r="E36" s="214" t="s">
        <v>346</v>
      </c>
      <c r="F36" s="13" t="s">
        <v>347</v>
      </c>
      <c r="G36" s="16" t="s">
        <v>348</v>
      </c>
      <c r="H36" s="13" t="s">
        <v>349</v>
      </c>
      <c r="I36" s="16" t="s">
        <v>350</v>
      </c>
      <c r="J36" s="16" t="s">
        <v>351</v>
      </c>
      <c r="K36" s="27">
        <v>209.3</v>
      </c>
      <c r="L36" s="27">
        <v>137.3</v>
      </c>
      <c r="M36" s="27">
        <v>2.4</v>
      </c>
      <c r="N36" s="25">
        <v>42000</v>
      </c>
      <c r="O36" s="25">
        <v>50000</v>
      </c>
      <c r="P36" s="25">
        <v>55000</v>
      </c>
      <c r="Q36" s="25">
        <v>65000</v>
      </c>
      <c r="R36" s="25" t="s">
        <v>187</v>
      </c>
      <c r="S36" s="25" t="s">
        <v>40</v>
      </c>
      <c r="T36" s="25" t="s">
        <v>352</v>
      </c>
      <c r="U36" s="25" t="s">
        <v>353</v>
      </c>
      <c r="V36" s="16" t="s">
        <v>343</v>
      </c>
      <c r="W36" s="13" t="s">
        <v>354</v>
      </c>
      <c r="X36" s="13" t="s">
        <v>45</v>
      </c>
    </row>
    <row r="37" s="1" customFormat="1" ht="50" customHeight="1" spans="1:24">
      <c r="A37" s="185">
        <v>30</v>
      </c>
      <c r="B37" s="193"/>
      <c r="C37" s="66" t="str">
        <f>_xlfn.DISPIMG("ID_B035946A26694947AAF49A23361CF678",1)</f>
        <v>=DISPIMG("ID_B035946A26694947AAF49A23361CF678",1)</v>
      </c>
      <c r="D37" s="66" t="s">
        <v>355</v>
      </c>
      <c r="E37" s="213" t="s">
        <v>356</v>
      </c>
      <c r="F37" s="113" t="s">
        <v>357</v>
      </c>
      <c r="G37" s="108" t="s">
        <v>358</v>
      </c>
      <c r="H37" s="108" t="s">
        <v>359</v>
      </c>
      <c r="I37" s="108" t="s">
        <v>360</v>
      </c>
      <c r="J37" s="297" t="s">
        <v>361</v>
      </c>
      <c r="K37" s="188">
        <v>52.1</v>
      </c>
      <c r="L37" s="188" t="s">
        <v>40</v>
      </c>
      <c r="M37" s="188" t="s">
        <v>40</v>
      </c>
      <c r="N37" s="189">
        <v>6900</v>
      </c>
      <c r="O37" s="189">
        <v>10000</v>
      </c>
      <c r="P37" s="189">
        <v>10000</v>
      </c>
      <c r="Q37" s="189" t="s">
        <v>40</v>
      </c>
      <c r="R37" s="189" t="s">
        <v>362</v>
      </c>
      <c r="S37" s="189" t="s">
        <v>40</v>
      </c>
      <c r="T37" s="189" t="s">
        <v>363</v>
      </c>
      <c r="U37" s="189" t="s">
        <v>364</v>
      </c>
      <c r="V37" s="108" t="s">
        <v>365</v>
      </c>
      <c r="W37" s="113" t="s">
        <v>40</v>
      </c>
      <c r="X37" s="113" t="s">
        <v>45</v>
      </c>
    </row>
    <row r="38" s="168" customFormat="1" ht="50" customHeight="1" spans="1:24">
      <c r="A38" s="195">
        <v>31</v>
      </c>
      <c r="B38" s="124" t="s">
        <v>102</v>
      </c>
      <c r="C38" s="23" t="str">
        <f>_xlfn.DISPIMG("ID_5E4F5F81837741C6A1580970EA59ABBC",1)</f>
        <v>=DISPIMG("ID_5E4F5F81837741C6A1580970EA59ABBC",1)</v>
      </c>
      <c r="D38" s="23" t="s">
        <v>366</v>
      </c>
      <c r="E38" s="214" t="s">
        <v>367</v>
      </c>
      <c r="F38" s="13" t="s">
        <v>368</v>
      </c>
      <c r="G38" s="16" t="s">
        <v>369</v>
      </c>
      <c r="H38" s="13" t="s">
        <v>370</v>
      </c>
      <c r="I38" s="27" t="s">
        <v>371</v>
      </c>
      <c r="J38" s="16" t="s">
        <v>40</v>
      </c>
      <c r="K38" s="27">
        <v>9.8</v>
      </c>
      <c r="L38" s="27">
        <v>146.3</v>
      </c>
      <c r="M38" s="27">
        <v>1.4</v>
      </c>
      <c r="N38" s="25">
        <v>35000</v>
      </c>
      <c r="O38" s="25">
        <v>80000</v>
      </c>
      <c r="P38" s="25">
        <v>100000</v>
      </c>
      <c r="Q38" s="25" t="s">
        <v>40</v>
      </c>
      <c r="R38" s="25" t="s">
        <v>372</v>
      </c>
      <c r="S38" s="25" t="s">
        <v>40</v>
      </c>
      <c r="T38" s="25" t="s">
        <v>40</v>
      </c>
      <c r="U38" s="25" t="s">
        <v>40</v>
      </c>
      <c r="V38" s="16" t="s">
        <v>40</v>
      </c>
      <c r="W38" s="13" t="s">
        <v>40</v>
      </c>
      <c r="X38" s="13" t="s">
        <v>45</v>
      </c>
    </row>
    <row r="39" s="166" customFormat="1" ht="25" customHeight="1" spans="1:24">
      <c r="A39" s="215"/>
      <c r="B39" s="215"/>
      <c r="C39" s="215"/>
      <c r="D39" s="215"/>
      <c r="E39" s="215"/>
      <c r="F39" s="215"/>
      <c r="G39" s="215"/>
      <c r="H39" s="215"/>
      <c r="I39" s="216"/>
      <c r="J39" s="217" t="s">
        <v>373</v>
      </c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</row>
    <row r="40" s="1" customFormat="1" ht="50" customHeight="1" spans="1:24">
      <c r="A40" s="185">
        <v>32</v>
      </c>
      <c r="B40" s="193" t="s">
        <v>102</v>
      </c>
      <c r="C40" s="66" t="str">
        <f>_xlfn.DISPIMG("ID_13688EB241364A2B81A7EC2777D4A67C",1)</f>
        <v>=DISPIMG("ID_13688EB241364A2B81A7EC2777D4A67C",1)</v>
      </c>
      <c r="D40" s="66" t="s">
        <v>374</v>
      </c>
      <c r="E40" s="213" t="s">
        <v>375</v>
      </c>
      <c r="F40" s="113" t="s">
        <v>376</v>
      </c>
      <c r="G40" s="108" t="s">
        <v>377</v>
      </c>
      <c r="H40" s="113" t="s">
        <v>378</v>
      </c>
      <c r="I40" s="108" t="s">
        <v>379</v>
      </c>
      <c r="J40" s="108" t="s">
        <v>380</v>
      </c>
      <c r="K40" s="188">
        <v>519.6</v>
      </c>
      <c r="L40" s="188">
        <v>106</v>
      </c>
      <c r="M40" s="188">
        <v>10</v>
      </c>
      <c r="N40" s="189">
        <v>63200</v>
      </c>
      <c r="O40" s="189">
        <v>158000</v>
      </c>
      <c r="P40" s="189">
        <v>168000</v>
      </c>
      <c r="Q40" s="189">
        <v>178000</v>
      </c>
      <c r="R40" s="189" t="s">
        <v>381</v>
      </c>
      <c r="S40" s="189">
        <v>158000</v>
      </c>
      <c r="T40" s="189" t="s">
        <v>382</v>
      </c>
      <c r="U40" s="189" t="s">
        <v>383</v>
      </c>
      <c r="V40" s="108" t="s">
        <v>384</v>
      </c>
      <c r="W40" s="113" t="s">
        <v>385</v>
      </c>
      <c r="X40" s="113" t="s">
        <v>45</v>
      </c>
    </row>
    <row r="41" s="1" customFormat="1" ht="50" customHeight="1" spans="1:24">
      <c r="A41" s="180">
        <v>33</v>
      </c>
      <c r="B41" s="61"/>
      <c r="C41" s="22" t="str">
        <f>_xlfn.DISPIMG("ID_25CF9ED5D08F4EC3B8261E1D3DA75E6B",1)</f>
        <v>=DISPIMG("ID_25CF9ED5D08F4EC3B8261E1D3DA75E6B",1)</v>
      </c>
      <c r="D41" s="61" t="s">
        <v>386</v>
      </c>
      <c r="E41" s="192" t="s">
        <v>387</v>
      </c>
      <c r="F41" s="64" t="s">
        <v>388</v>
      </c>
      <c r="G41" s="64" t="s">
        <v>377</v>
      </c>
      <c r="H41" s="64" t="s">
        <v>389</v>
      </c>
      <c r="I41" s="116" t="s">
        <v>390</v>
      </c>
      <c r="J41" s="116" t="s">
        <v>391</v>
      </c>
      <c r="K41" s="157">
        <v>123.2</v>
      </c>
      <c r="L41" s="157">
        <v>104.5</v>
      </c>
      <c r="M41" s="157">
        <v>4.5</v>
      </c>
      <c r="N41" s="158">
        <v>85000</v>
      </c>
      <c r="O41" s="158">
        <v>85000</v>
      </c>
      <c r="P41" s="158">
        <v>95000</v>
      </c>
      <c r="Q41" s="158">
        <v>105000</v>
      </c>
      <c r="R41" s="184" t="s">
        <v>381</v>
      </c>
      <c r="S41" s="158">
        <v>85000</v>
      </c>
      <c r="T41" s="184" t="s">
        <v>392</v>
      </c>
      <c r="U41" s="184" t="s">
        <v>393</v>
      </c>
      <c r="V41" s="116" t="s">
        <v>394</v>
      </c>
      <c r="W41" s="64" t="s">
        <v>395</v>
      </c>
      <c r="X41" s="64" t="s">
        <v>45</v>
      </c>
    </row>
    <row r="42" s="1" customFormat="1" ht="50" customHeight="1" spans="1:24">
      <c r="A42" s="185">
        <v>34</v>
      </c>
      <c r="B42" s="193" t="s">
        <v>125</v>
      </c>
      <c r="C42" s="66" t="str">
        <f>_xlfn.DISPIMG("ID_BBF7812EE29A4163B6F87775E18655EE",1)</f>
        <v>=DISPIMG("ID_BBF7812EE29A4163B6F87775E18655EE",1)</v>
      </c>
      <c r="D42" s="66" t="s">
        <v>396</v>
      </c>
      <c r="E42" s="213" t="s">
        <v>397</v>
      </c>
      <c r="F42" s="113" t="s">
        <v>398</v>
      </c>
      <c r="G42" s="113" t="s">
        <v>399</v>
      </c>
      <c r="H42" s="113" t="s">
        <v>400</v>
      </c>
      <c r="I42" s="113" t="s">
        <v>401</v>
      </c>
      <c r="J42" s="297" t="s">
        <v>402</v>
      </c>
      <c r="K42" s="188">
        <v>212.8</v>
      </c>
      <c r="L42" s="188">
        <v>51.4</v>
      </c>
      <c r="M42" s="188">
        <v>10.5</v>
      </c>
      <c r="N42" s="189">
        <v>40000</v>
      </c>
      <c r="O42" s="189">
        <v>70000</v>
      </c>
      <c r="P42" s="189">
        <v>75000</v>
      </c>
      <c r="Q42" s="189" t="s">
        <v>40</v>
      </c>
      <c r="R42" s="189" t="s">
        <v>403</v>
      </c>
      <c r="S42" s="189" t="s">
        <v>40</v>
      </c>
      <c r="T42" s="189" t="s">
        <v>404</v>
      </c>
      <c r="U42" s="189" t="s">
        <v>405</v>
      </c>
      <c r="V42" s="108" t="s">
        <v>406</v>
      </c>
      <c r="W42" s="113" t="s">
        <v>407</v>
      </c>
      <c r="X42" s="113" t="s">
        <v>408</v>
      </c>
    </row>
    <row r="43" s="1" customFormat="1" ht="50" customHeight="1" spans="1:24">
      <c r="A43" s="180">
        <v>35</v>
      </c>
      <c r="B43" s="61"/>
      <c r="C43" s="22" t="str">
        <f>_xlfn.DISPIMG("ID_7C3D7E093E3A4B48A95896E13A102E73",1)</f>
        <v>=DISPIMG("ID_7C3D7E093E3A4B48A95896E13A102E73",1)</v>
      </c>
      <c r="D43" s="61" t="s">
        <v>409</v>
      </c>
      <c r="E43" s="192" t="s">
        <v>410</v>
      </c>
      <c r="F43" s="64" t="s">
        <v>411</v>
      </c>
      <c r="G43" s="64" t="s">
        <v>412</v>
      </c>
      <c r="H43" s="64" t="s">
        <v>413</v>
      </c>
      <c r="I43" s="116" t="s">
        <v>414</v>
      </c>
      <c r="J43" s="298" t="s">
        <v>415</v>
      </c>
      <c r="K43" s="157">
        <v>444</v>
      </c>
      <c r="L43" s="157">
        <v>320.6</v>
      </c>
      <c r="M43" s="157">
        <v>83.8</v>
      </c>
      <c r="N43" s="158">
        <v>70000</v>
      </c>
      <c r="O43" s="158">
        <v>158000</v>
      </c>
      <c r="P43" s="158">
        <v>160000</v>
      </c>
      <c r="Q43" s="158" t="s">
        <v>40</v>
      </c>
      <c r="R43" s="184" t="s">
        <v>416</v>
      </c>
      <c r="S43" s="158" t="s">
        <v>40</v>
      </c>
      <c r="T43" s="184" t="s">
        <v>417</v>
      </c>
      <c r="U43" s="184" t="s">
        <v>418</v>
      </c>
      <c r="V43" s="116" t="s">
        <v>419</v>
      </c>
      <c r="W43" s="64" t="s">
        <v>40</v>
      </c>
      <c r="X43" s="64" t="s">
        <v>420</v>
      </c>
    </row>
    <row r="44" s="1" customFormat="1" ht="50" customHeight="1" spans="1:24">
      <c r="A44" s="208">
        <v>36</v>
      </c>
      <c r="B44" s="218"/>
      <c r="C44" s="210" t="str">
        <f>_xlfn.DISPIMG("ID_C323F5BB57A04391AC291A22669EE708",1)</f>
        <v>=DISPIMG("ID_C323F5BB57A04391AC291A22669EE708",1)</v>
      </c>
      <c r="D44" s="211" t="s">
        <v>421</v>
      </c>
      <c r="E44" s="213" t="s">
        <v>422</v>
      </c>
      <c r="F44" s="113" t="s">
        <v>423</v>
      </c>
      <c r="G44" s="113" t="s">
        <v>424</v>
      </c>
      <c r="H44" s="113" t="s">
        <v>425</v>
      </c>
      <c r="I44" s="108" t="s">
        <v>426</v>
      </c>
      <c r="J44" s="297" t="s">
        <v>427</v>
      </c>
      <c r="K44" s="188">
        <v>91.9</v>
      </c>
      <c r="L44" s="188" t="s">
        <v>40</v>
      </c>
      <c r="M44" s="188" t="s">
        <v>40</v>
      </c>
      <c r="N44" s="189">
        <v>60000</v>
      </c>
      <c r="O44" s="189">
        <v>73000</v>
      </c>
      <c r="P44" s="189">
        <v>75000</v>
      </c>
      <c r="Q44" s="189" t="s">
        <v>40</v>
      </c>
      <c r="R44" s="189" t="s">
        <v>428</v>
      </c>
      <c r="S44" s="189">
        <v>75000</v>
      </c>
      <c r="T44" s="189" t="s">
        <v>429</v>
      </c>
      <c r="U44" s="189" t="s">
        <v>430</v>
      </c>
      <c r="V44" s="108" t="s">
        <v>431</v>
      </c>
      <c r="W44" s="113" t="s">
        <v>40</v>
      </c>
      <c r="X44" s="113" t="s">
        <v>420</v>
      </c>
    </row>
    <row r="45" s="1" customFormat="1" ht="50" customHeight="1" spans="1:24">
      <c r="A45" s="180">
        <v>37</v>
      </c>
      <c r="B45" s="61"/>
      <c r="C45" s="22" t="str">
        <f>_xlfn.DISPIMG("ID_2FDA320076F14743B85625DCA4F9F685",1)</f>
        <v>=DISPIMG("ID_2FDA320076F14743B85625DCA4F9F685",1)</v>
      </c>
      <c r="D45" s="61" t="s">
        <v>432</v>
      </c>
      <c r="E45" s="192" t="s">
        <v>433</v>
      </c>
      <c r="F45" s="64" t="s">
        <v>434</v>
      </c>
      <c r="G45" s="64" t="s">
        <v>435</v>
      </c>
      <c r="H45" s="64" t="s">
        <v>436</v>
      </c>
      <c r="I45" s="116" t="s">
        <v>437</v>
      </c>
      <c r="J45" s="298" t="s">
        <v>438</v>
      </c>
      <c r="K45" s="157">
        <v>74.1</v>
      </c>
      <c r="L45" s="157">
        <v>29.3</v>
      </c>
      <c r="M45" s="157">
        <v>36.3</v>
      </c>
      <c r="N45" s="158">
        <v>30000</v>
      </c>
      <c r="O45" s="158">
        <v>38000</v>
      </c>
      <c r="P45" s="158">
        <v>40000</v>
      </c>
      <c r="Q45" s="158" t="s">
        <v>40</v>
      </c>
      <c r="R45" s="184" t="s">
        <v>439</v>
      </c>
      <c r="S45" s="158" t="s">
        <v>40</v>
      </c>
      <c r="T45" s="184" t="s">
        <v>440</v>
      </c>
      <c r="U45" s="184" t="s">
        <v>441</v>
      </c>
      <c r="V45" s="116" t="s">
        <v>442</v>
      </c>
      <c r="W45" s="64" t="s">
        <v>40</v>
      </c>
      <c r="X45" s="64" t="s">
        <v>443</v>
      </c>
    </row>
    <row r="46" s="1" customFormat="1" ht="50" customHeight="1" spans="1:24">
      <c r="A46" s="185">
        <v>38</v>
      </c>
      <c r="B46" s="218"/>
      <c r="C46" s="66" t="str">
        <f>_xlfn.DISPIMG("ID_9EBBD8CC8EE44FD4B15903551B9EDA63",1)</f>
        <v>=DISPIMG("ID_9EBBD8CC8EE44FD4B15903551B9EDA63",1)</v>
      </c>
      <c r="D46" s="66" t="s">
        <v>444</v>
      </c>
      <c r="E46" s="213" t="s">
        <v>445</v>
      </c>
      <c r="F46" s="113" t="s">
        <v>446</v>
      </c>
      <c r="G46" s="113" t="s">
        <v>435</v>
      </c>
      <c r="H46" s="108" t="s">
        <v>447</v>
      </c>
      <c r="I46" s="108" t="s">
        <v>448</v>
      </c>
      <c r="J46" s="297" t="s">
        <v>449</v>
      </c>
      <c r="K46" s="188">
        <v>213.5</v>
      </c>
      <c r="L46" s="188">
        <v>25.5</v>
      </c>
      <c r="M46" s="188">
        <v>102.4</v>
      </c>
      <c r="N46" s="189">
        <v>70000</v>
      </c>
      <c r="O46" s="189">
        <v>86000</v>
      </c>
      <c r="P46" s="189">
        <v>88000</v>
      </c>
      <c r="Q46" s="189" t="s">
        <v>40</v>
      </c>
      <c r="R46" s="189" t="s">
        <v>450</v>
      </c>
      <c r="S46" s="189" t="s">
        <v>40</v>
      </c>
      <c r="T46" s="189" t="s">
        <v>451</v>
      </c>
      <c r="U46" s="189" t="s">
        <v>452</v>
      </c>
      <c r="V46" s="108" t="s">
        <v>453</v>
      </c>
      <c r="W46" s="113" t="s">
        <v>454</v>
      </c>
      <c r="X46" s="113" t="s">
        <v>443</v>
      </c>
    </row>
    <row r="47" s="1" customFormat="1" ht="50" customHeight="1" spans="1:24">
      <c r="A47" s="180">
        <v>39</v>
      </c>
      <c r="B47" s="124"/>
      <c r="C47" s="22" t="str">
        <f>_xlfn.DISPIMG("ID_09F1C858463649068DA213FFACF66789",1)</f>
        <v>=DISPIMG("ID_09F1C858463649068DA213FFACF66789",1)</v>
      </c>
      <c r="D47" s="61" t="s">
        <v>455</v>
      </c>
      <c r="E47" s="192" t="s">
        <v>456</v>
      </c>
      <c r="F47" s="64" t="s">
        <v>457</v>
      </c>
      <c r="G47" s="64" t="s">
        <v>458</v>
      </c>
      <c r="H47" s="64" t="s">
        <v>459</v>
      </c>
      <c r="I47" s="116" t="s">
        <v>460</v>
      </c>
      <c r="J47" s="116" t="s">
        <v>461</v>
      </c>
      <c r="K47" s="157">
        <v>164.6</v>
      </c>
      <c r="L47" s="157">
        <v>414.3</v>
      </c>
      <c r="M47" s="157">
        <v>16</v>
      </c>
      <c r="N47" s="158">
        <v>32000</v>
      </c>
      <c r="O47" s="158">
        <v>40000</v>
      </c>
      <c r="P47" s="158">
        <v>50000</v>
      </c>
      <c r="Q47" s="158">
        <v>60000</v>
      </c>
      <c r="R47" s="184" t="s">
        <v>381</v>
      </c>
      <c r="S47" s="158">
        <v>40000</v>
      </c>
      <c r="T47" s="184" t="s">
        <v>462</v>
      </c>
      <c r="U47" s="184" t="s">
        <v>463</v>
      </c>
      <c r="V47" s="116" t="s">
        <v>464</v>
      </c>
      <c r="W47" s="64" t="s">
        <v>465</v>
      </c>
      <c r="X47" s="64" t="s">
        <v>45</v>
      </c>
    </row>
    <row r="48" s="1" customFormat="1" ht="50" customHeight="1" spans="1:24">
      <c r="A48" s="185">
        <v>40</v>
      </c>
      <c r="B48" s="218"/>
      <c r="C48" s="194" t="str">
        <f>_xlfn.DISPIMG("ID_4BB75004A5214030A47B0EC4A3C051CB",1)</f>
        <v>=DISPIMG("ID_4BB75004A5214030A47B0EC4A3C051CB",1)</v>
      </c>
      <c r="D48" s="66" t="s">
        <v>466</v>
      </c>
      <c r="E48" s="213" t="s">
        <v>467</v>
      </c>
      <c r="F48" s="113" t="s">
        <v>468</v>
      </c>
      <c r="G48" s="113" t="s">
        <v>458</v>
      </c>
      <c r="H48" s="113" t="s">
        <v>469</v>
      </c>
      <c r="I48" s="108" t="s">
        <v>470</v>
      </c>
      <c r="J48" s="108" t="s">
        <v>471</v>
      </c>
      <c r="K48" s="188">
        <v>124.3</v>
      </c>
      <c r="L48" s="188">
        <v>853</v>
      </c>
      <c r="M48" s="188">
        <v>21.1</v>
      </c>
      <c r="N48" s="189">
        <v>25000</v>
      </c>
      <c r="O48" s="189">
        <v>40000</v>
      </c>
      <c r="P48" s="189">
        <v>50000</v>
      </c>
      <c r="Q48" s="189">
        <v>60000</v>
      </c>
      <c r="R48" s="189" t="s">
        <v>381</v>
      </c>
      <c r="S48" s="189">
        <v>40000</v>
      </c>
      <c r="T48" s="189" t="s">
        <v>472</v>
      </c>
      <c r="U48" s="189" t="s">
        <v>473</v>
      </c>
      <c r="V48" s="108" t="s">
        <v>474</v>
      </c>
      <c r="W48" s="113" t="s">
        <v>475</v>
      </c>
      <c r="X48" s="113" t="s">
        <v>45</v>
      </c>
    </row>
    <row r="49" s="1" customFormat="1" ht="50" customHeight="1" spans="1:24">
      <c r="A49" s="180">
        <v>41</v>
      </c>
      <c r="B49" s="124"/>
      <c r="C49" s="22" t="str">
        <f>_xlfn.DISPIMG("ID_91F2DC5D52E6496E824FA789F20CE7C3",1)</f>
        <v>=DISPIMG("ID_91F2DC5D52E6496E824FA789F20CE7C3",1)</v>
      </c>
      <c r="D49" s="61" t="s">
        <v>476</v>
      </c>
      <c r="E49" s="192" t="s">
        <v>477</v>
      </c>
      <c r="F49" s="64">
        <v>5466225</v>
      </c>
      <c r="G49" s="64" t="s">
        <v>478</v>
      </c>
      <c r="H49" s="64" t="s">
        <v>479</v>
      </c>
      <c r="I49" s="116" t="s">
        <v>480</v>
      </c>
      <c r="J49" s="116" t="s">
        <v>481</v>
      </c>
      <c r="K49" s="157">
        <v>58</v>
      </c>
      <c r="L49" s="157" t="s">
        <v>40</v>
      </c>
      <c r="M49" s="157">
        <v>31</v>
      </c>
      <c r="N49" s="158">
        <v>20000</v>
      </c>
      <c r="O49" s="158">
        <v>30000</v>
      </c>
      <c r="P49" s="158">
        <v>40000</v>
      </c>
      <c r="Q49" s="158">
        <v>50000</v>
      </c>
      <c r="R49" s="184" t="s">
        <v>482</v>
      </c>
      <c r="S49" s="158" t="s">
        <v>40</v>
      </c>
      <c r="T49" s="184" t="s">
        <v>483</v>
      </c>
      <c r="U49" s="184" t="s">
        <v>484</v>
      </c>
      <c r="V49" s="116" t="s">
        <v>485</v>
      </c>
      <c r="W49" s="64" t="s">
        <v>486</v>
      </c>
      <c r="X49" s="64" t="s">
        <v>45</v>
      </c>
    </row>
    <row r="50" s="1" customFormat="1" ht="50" customHeight="1" spans="1:24">
      <c r="A50" s="185">
        <v>42</v>
      </c>
      <c r="B50" s="218"/>
      <c r="C50" s="194" t="str">
        <f>_xlfn.DISPIMG("ID_1D344B6954DA404A99AA33F1FE741BC1",1)</f>
        <v>=DISPIMG("ID_1D344B6954DA404A99AA33F1FE741BC1",1)</v>
      </c>
      <c r="D50" s="66" t="s">
        <v>487</v>
      </c>
      <c r="E50" s="213" t="s">
        <v>488</v>
      </c>
      <c r="F50" s="113" t="s">
        <v>489</v>
      </c>
      <c r="G50" s="113" t="s">
        <v>435</v>
      </c>
      <c r="H50" s="113" t="s">
        <v>490</v>
      </c>
      <c r="I50" s="108" t="s">
        <v>491</v>
      </c>
      <c r="J50" s="297" t="s">
        <v>492</v>
      </c>
      <c r="K50" s="188">
        <v>72.3</v>
      </c>
      <c r="L50" s="188" t="s">
        <v>40</v>
      </c>
      <c r="M50" s="188">
        <v>8.2</v>
      </c>
      <c r="N50" s="189">
        <v>15000</v>
      </c>
      <c r="O50" s="189">
        <v>19000</v>
      </c>
      <c r="P50" s="189">
        <v>23000</v>
      </c>
      <c r="Q50" s="189">
        <v>33000</v>
      </c>
      <c r="R50" s="189" t="s">
        <v>493</v>
      </c>
      <c r="S50" s="189" t="s">
        <v>40</v>
      </c>
      <c r="T50" s="189" t="s">
        <v>494</v>
      </c>
      <c r="U50" s="189" t="s">
        <v>495</v>
      </c>
      <c r="V50" s="108" t="s">
        <v>496</v>
      </c>
      <c r="W50" s="113" t="s">
        <v>497</v>
      </c>
      <c r="X50" s="113" t="s">
        <v>45</v>
      </c>
    </row>
    <row r="51" s="1" customFormat="1" ht="50" customHeight="1" spans="1:24">
      <c r="A51" s="180">
        <v>43</v>
      </c>
      <c r="B51" s="124"/>
      <c r="C51" s="22" t="str">
        <f>_xlfn.DISPIMG("ID_421C6605411A40B4BE082C7CB3D2A79E",1)</f>
        <v>=DISPIMG("ID_421C6605411A40B4BE082C7CB3D2A79E",1)</v>
      </c>
      <c r="D51" s="61" t="s">
        <v>498</v>
      </c>
      <c r="E51" s="192" t="s">
        <v>499</v>
      </c>
      <c r="F51" s="64" t="s">
        <v>500</v>
      </c>
      <c r="G51" s="64" t="s">
        <v>435</v>
      </c>
      <c r="H51" s="64" t="s">
        <v>501</v>
      </c>
      <c r="I51" s="116" t="s">
        <v>502</v>
      </c>
      <c r="J51" s="298" t="s">
        <v>503</v>
      </c>
      <c r="K51" s="157">
        <v>102.6</v>
      </c>
      <c r="L51" s="157" t="s">
        <v>40</v>
      </c>
      <c r="M51" s="157" t="s">
        <v>40</v>
      </c>
      <c r="N51" s="158">
        <v>20000</v>
      </c>
      <c r="O51" s="158">
        <v>30000</v>
      </c>
      <c r="P51" s="158">
        <v>40000</v>
      </c>
      <c r="Q51" s="158">
        <v>50000</v>
      </c>
      <c r="R51" s="184" t="s">
        <v>381</v>
      </c>
      <c r="S51" s="158" t="s">
        <v>40</v>
      </c>
      <c r="T51" s="184" t="s">
        <v>504</v>
      </c>
      <c r="U51" s="184" t="s">
        <v>505</v>
      </c>
      <c r="V51" s="116" t="s">
        <v>506</v>
      </c>
      <c r="W51" s="64" t="s">
        <v>497</v>
      </c>
      <c r="X51" s="64" t="s">
        <v>45</v>
      </c>
    </row>
    <row r="52" s="1" customFormat="1" ht="50" customHeight="1" spans="1:24">
      <c r="A52" s="185">
        <v>44</v>
      </c>
      <c r="B52" s="218"/>
      <c r="C52" s="194" t="str">
        <f>_xlfn.DISPIMG("ID_1AD7FD21BEB54C18981E40DA34D8D2E3",1)</f>
        <v>=DISPIMG("ID_1AD7FD21BEB54C18981E40DA34D8D2E3",1)</v>
      </c>
      <c r="D52" s="66" t="s">
        <v>507</v>
      </c>
      <c r="E52" s="213" t="s">
        <v>508</v>
      </c>
      <c r="F52" s="113" t="s">
        <v>509</v>
      </c>
      <c r="G52" s="113" t="s">
        <v>478</v>
      </c>
      <c r="H52" s="113" t="s">
        <v>510</v>
      </c>
      <c r="I52" s="108" t="s">
        <v>511</v>
      </c>
      <c r="J52" s="108" t="s">
        <v>512</v>
      </c>
      <c r="K52" s="188">
        <v>17.5</v>
      </c>
      <c r="L52" s="188">
        <v>255.4</v>
      </c>
      <c r="M52" s="188">
        <v>10.8</v>
      </c>
      <c r="N52" s="189">
        <v>10000</v>
      </c>
      <c r="O52" s="189">
        <v>18000</v>
      </c>
      <c r="P52" s="189">
        <v>20000</v>
      </c>
      <c r="Q52" s="189">
        <v>30000</v>
      </c>
      <c r="R52" s="189" t="s">
        <v>493</v>
      </c>
      <c r="S52" s="189" t="s">
        <v>40</v>
      </c>
      <c r="T52" s="189" t="s">
        <v>513</v>
      </c>
      <c r="U52" s="189" t="s">
        <v>514</v>
      </c>
      <c r="V52" s="108" t="s">
        <v>515</v>
      </c>
      <c r="W52" s="113" t="s">
        <v>516</v>
      </c>
      <c r="X52" s="113" t="s">
        <v>45</v>
      </c>
    </row>
    <row r="53" s="167" customFormat="1" ht="25" customHeight="1" spans="1:24">
      <c r="A53" s="219"/>
      <c r="B53" s="219"/>
      <c r="C53" s="219"/>
      <c r="D53" s="219"/>
      <c r="E53" s="219"/>
      <c r="F53" s="219"/>
      <c r="G53" s="219"/>
      <c r="H53" s="219"/>
      <c r="I53" s="220"/>
      <c r="J53" s="221" t="s">
        <v>517</v>
      </c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</row>
    <row r="54" s="1" customFormat="1" ht="50" customHeight="1" spans="1:24">
      <c r="A54" s="185">
        <v>45</v>
      </c>
      <c r="B54" s="193" t="s">
        <v>518</v>
      </c>
      <c r="C54" s="66" t="str">
        <f>_xlfn.DISPIMG("ID_A1A5D79D24784993A8D9B3F666EA6192",1)</f>
        <v>=DISPIMG("ID_A1A5D79D24784993A8D9B3F666EA6192",1)</v>
      </c>
      <c r="D54" s="66" t="s">
        <v>519</v>
      </c>
      <c r="E54" s="186" t="s">
        <v>520</v>
      </c>
      <c r="F54" s="113">
        <v>37893373</v>
      </c>
      <c r="G54" s="113" t="s">
        <v>521</v>
      </c>
      <c r="H54" s="108" t="s">
        <v>522</v>
      </c>
      <c r="I54" s="108" t="s">
        <v>523</v>
      </c>
      <c r="J54" s="297" t="s">
        <v>524</v>
      </c>
      <c r="K54" s="188">
        <v>337.2</v>
      </c>
      <c r="L54" s="188">
        <v>161.1</v>
      </c>
      <c r="M54" s="222">
        <v>4.2</v>
      </c>
      <c r="N54" s="189">
        <v>70000</v>
      </c>
      <c r="O54" s="189">
        <v>90000</v>
      </c>
      <c r="P54" s="189">
        <v>90000</v>
      </c>
      <c r="Q54" s="189" t="s">
        <v>40</v>
      </c>
      <c r="R54" s="189" t="s">
        <v>525</v>
      </c>
      <c r="S54" s="189" t="s">
        <v>40</v>
      </c>
      <c r="T54" s="189" t="s">
        <v>526</v>
      </c>
      <c r="U54" s="189" t="s">
        <v>527</v>
      </c>
      <c r="V54" s="108" t="s">
        <v>528</v>
      </c>
      <c r="W54" s="113" t="s">
        <v>529</v>
      </c>
      <c r="X54" s="113" t="s">
        <v>530</v>
      </c>
    </row>
    <row r="55" s="1" customFormat="1" ht="50" customHeight="1" spans="1:24">
      <c r="A55" s="180">
        <v>46</v>
      </c>
      <c r="B55" s="223"/>
      <c r="C55" s="182" t="str">
        <f>_xlfn.DISPIMG("ID_2C935C190FE24B4C8D67824FAA1EEA29",1)</f>
        <v>=DISPIMG("ID_2C935C190FE24B4C8D67824FAA1EEA29",1)</v>
      </c>
      <c r="D55" s="61" t="s">
        <v>531</v>
      </c>
      <c r="E55" s="192" t="s">
        <v>532</v>
      </c>
      <c r="F55" s="64" t="s">
        <v>533</v>
      </c>
      <c r="G55" s="224" t="s">
        <v>521</v>
      </c>
      <c r="H55" s="64" t="s">
        <v>534</v>
      </c>
      <c r="I55" s="116" t="s">
        <v>535</v>
      </c>
      <c r="J55" s="116" t="s">
        <v>536</v>
      </c>
      <c r="K55" s="157">
        <v>193.3</v>
      </c>
      <c r="L55" s="157">
        <v>189.6</v>
      </c>
      <c r="M55" s="157">
        <v>6.3</v>
      </c>
      <c r="N55" s="184">
        <v>35000</v>
      </c>
      <c r="O55" s="184">
        <v>45000</v>
      </c>
      <c r="P55" s="184">
        <v>50000</v>
      </c>
      <c r="Q55" s="184" t="s">
        <v>40</v>
      </c>
      <c r="R55" s="184" t="s">
        <v>187</v>
      </c>
      <c r="S55" s="184" t="s">
        <v>40</v>
      </c>
      <c r="T55" s="184" t="s">
        <v>537</v>
      </c>
      <c r="U55" s="184" t="s">
        <v>538</v>
      </c>
      <c r="V55" s="184" t="s">
        <v>539</v>
      </c>
      <c r="W55" s="64" t="s">
        <v>540</v>
      </c>
      <c r="X55" s="64" t="s">
        <v>45</v>
      </c>
    </row>
    <row r="56" s="1" customFormat="1" ht="50" customHeight="1" spans="1:24">
      <c r="A56" s="185">
        <v>47</v>
      </c>
      <c r="B56" s="225"/>
      <c r="C56" s="194" t="str">
        <f>_xlfn.DISPIMG("ID_7542F921225141E8913F0A8FFA70BFFC",1)</f>
        <v>=DISPIMG("ID_7542F921225141E8913F0A8FFA70BFFC",1)</v>
      </c>
      <c r="D56" s="66" t="s">
        <v>541</v>
      </c>
      <c r="E56" s="186" t="s">
        <v>542</v>
      </c>
      <c r="F56" s="113" t="s">
        <v>543</v>
      </c>
      <c r="G56" s="113" t="s">
        <v>544</v>
      </c>
      <c r="H56" s="113" t="s">
        <v>545</v>
      </c>
      <c r="I56" s="108" t="s">
        <v>546</v>
      </c>
      <c r="J56" s="108" t="s">
        <v>547</v>
      </c>
      <c r="K56" s="188">
        <v>44</v>
      </c>
      <c r="L56" s="188">
        <v>377.4</v>
      </c>
      <c r="M56" s="222">
        <v>4.8</v>
      </c>
      <c r="N56" s="189">
        <v>45000</v>
      </c>
      <c r="O56" s="189">
        <v>55000</v>
      </c>
      <c r="P56" s="189">
        <v>75000</v>
      </c>
      <c r="Q56" s="189">
        <v>85000</v>
      </c>
      <c r="R56" s="189" t="s">
        <v>40</v>
      </c>
      <c r="S56" s="189" t="s">
        <v>40</v>
      </c>
      <c r="T56" s="189" t="s">
        <v>548</v>
      </c>
      <c r="U56" s="189" t="s">
        <v>549</v>
      </c>
      <c r="V56" s="108" t="s">
        <v>550</v>
      </c>
      <c r="W56" s="113" t="s">
        <v>551</v>
      </c>
      <c r="X56" s="113" t="s">
        <v>45</v>
      </c>
    </row>
    <row r="57" s="1" customFormat="1" ht="50" customHeight="1" spans="1:24">
      <c r="A57" s="180">
        <v>48</v>
      </c>
      <c r="B57" s="223"/>
      <c r="C57" s="182" t="str">
        <f>_xlfn.DISPIMG("ID_3AEE1533498C42C682BDD6B9C65794AD",1)</f>
        <v>=DISPIMG("ID_3AEE1533498C42C682BDD6B9C65794AD",1)</v>
      </c>
      <c r="D57" s="61" t="s">
        <v>552</v>
      </c>
      <c r="E57" s="192" t="s">
        <v>553</v>
      </c>
      <c r="F57" s="64">
        <v>790814775</v>
      </c>
      <c r="G57" s="64" t="s">
        <v>554</v>
      </c>
      <c r="H57" s="64" t="s">
        <v>555</v>
      </c>
      <c r="I57" s="116" t="s">
        <v>556</v>
      </c>
      <c r="J57" s="116" t="s">
        <v>557</v>
      </c>
      <c r="K57" s="157">
        <v>149.5</v>
      </c>
      <c r="L57" s="157">
        <v>59.8</v>
      </c>
      <c r="M57" s="157">
        <v>0.5</v>
      </c>
      <c r="N57" s="25">
        <v>22000</v>
      </c>
      <c r="O57" s="25">
        <v>25000</v>
      </c>
      <c r="P57" s="25">
        <v>28000</v>
      </c>
      <c r="Q57" s="25">
        <v>35000</v>
      </c>
      <c r="R57" s="25" t="s">
        <v>187</v>
      </c>
      <c r="S57" s="25" t="s">
        <v>40</v>
      </c>
      <c r="T57" s="184" t="s">
        <v>558</v>
      </c>
      <c r="U57" s="184" t="s">
        <v>559</v>
      </c>
      <c r="V57" s="116" t="s">
        <v>560</v>
      </c>
      <c r="W57" s="64" t="s">
        <v>561</v>
      </c>
      <c r="X57" s="64" t="s">
        <v>562</v>
      </c>
    </row>
    <row r="58" s="1" customFormat="1" ht="50" customHeight="1" spans="1:24">
      <c r="A58" s="185">
        <v>49</v>
      </c>
      <c r="B58" s="193" t="s">
        <v>518</v>
      </c>
      <c r="C58" s="66" t="str">
        <f>_xlfn.DISPIMG("ID_17D25C6E6AFC4B4DA27059925412E18A",1)</f>
        <v>=DISPIMG("ID_17D25C6E6AFC4B4DA27059925412E18A",1)</v>
      </c>
      <c r="D58" s="66" t="s">
        <v>563</v>
      </c>
      <c r="E58" s="213" t="s">
        <v>564</v>
      </c>
      <c r="F58" s="113" t="s">
        <v>565</v>
      </c>
      <c r="G58" s="113" t="s">
        <v>554</v>
      </c>
      <c r="H58" s="113" t="s">
        <v>566</v>
      </c>
      <c r="I58" s="108" t="s">
        <v>567</v>
      </c>
      <c r="J58" s="108" t="s">
        <v>568</v>
      </c>
      <c r="K58" s="188">
        <v>52.1</v>
      </c>
      <c r="L58" s="188">
        <v>75.7</v>
      </c>
      <c r="M58" s="188">
        <v>0.8</v>
      </c>
      <c r="N58" s="189">
        <v>8000</v>
      </c>
      <c r="O58" s="189">
        <v>12000</v>
      </c>
      <c r="P58" s="189">
        <v>15000</v>
      </c>
      <c r="Q58" s="189">
        <v>25000</v>
      </c>
      <c r="R58" s="189" t="s">
        <v>187</v>
      </c>
      <c r="S58" s="189" t="s">
        <v>40</v>
      </c>
      <c r="T58" s="189" t="s">
        <v>569</v>
      </c>
      <c r="U58" s="189" t="s">
        <v>570</v>
      </c>
      <c r="V58" s="108" t="s">
        <v>571</v>
      </c>
      <c r="W58" s="113" t="s">
        <v>572</v>
      </c>
      <c r="X58" s="113" t="s">
        <v>573</v>
      </c>
    </row>
    <row r="59" s="1" customFormat="1" ht="50" customHeight="1" spans="1:24">
      <c r="A59" s="180">
        <v>50</v>
      </c>
      <c r="B59" s="223"/>
      <c r="C59" s="182" t="str">
        <f>_xlfn.DISPIMG("ID_A72D91D1F8AA4E5DB1D578D1F96213F5",1)</f>
        <v>=DISPIMG("ID_A72D91D1F8AA4E5DB1D578D1F96213F5",1)</v>
      </c>
      <c r="D59" s="61" t="s">
        <v>574</v>
      </c>
      <c r="E59" s="183" t="s">
        <v>575</v>
      </c>
      <c r="F59" s="64" t="s">
        <v>576</v>
      </c>
      <c r="G59" s="64" t="s">
        <v>577</v>
      </c>
      <c r="H59" s="64" t="s">
        <v>578</v>
      </c>
      <c r="I59" s="116" t="s">
        <v>579</v>
      </c>
      <c r="J59" s="116" t="s">
        <v>580</v>
      </c>
      <c r="K59" s="157">
        <v>28.4</v>
      </c>
      <c r="L59" s="157">
        <v>318.3</v>
      </c>
      <c r="M59" s="157">
        <v>5.6</v>
      </c>
      <c r="N59" s="184">
        <v>33000</v>
      </c>
      <c r="O59" s="184">
        <v>37000</v>
      </c>
      <c r="P59" s="184">
        <v>41000</v>
      </c>
      <c r="Q59" s="184">
        <v>51000</v>
      </c>
      <c r="R59" s="184" t="s">
        <v>187</v>
      </c>
      <c r="S59" s="184" t="s">
        <v>40</v>
      </c>
      <c r="T59" s="184" t="s">
        <v>581</v>
      </c>
      <c r="U59" s="184" t="s">
        <v>582</v>
      </c>
      <c r="V59" s="116" t="s">
        <v>583</v>
      </c>
      <c r="W59" s="64" t="s">
        <v>584</v>
      </c>
      <c r="X59" s="64" t="s">
        <v>573</v>
      </c>
    </row>
    <row r="60" s="1" customFormat="1" ht="50" customHeight="1" spans="1:24">
      <c r="A60" s="185">
        <v>51</v>
      </c>
      <c r="B60" s="193"/>
      <c r="C60" s="66" t="str">
        <f>_xlfn.DISPIMG("ID_32FCB513C4484BA09259FA7A453BEE58",1)</f>
        <v>=DISPIMG("ID_32FCB513C4484BA09259FA7A453BEE58",1)</v>
      </c>
      <c r="D60" s="66" t="s">
        <v>585</v>
      </c>
      <c r="E60" s="213" t="s">
        <v>586</v>
      </c>
      <c r="F60" s="113">
        <v>27201743838</v>
      </c>
      <c r="G60" s="113" t="s">
        <v>587</v>
      </c>
      <c r="H60" s="108" t="s">
        <v>588</v>
      </c>
      <c r="I60" s="108" t="s">
        <v>589</v>
      </c>
      <c r="J60" s="297" t="s">
        <v>590</v>
      </c>
      <c r="K60" s="188">
        <v>8.8</v>
      </c>
      <c r="L60" s="188">
        <v>311.5</v>
      </c>
      <c r="M60" s="188">
        <v>3.9</v>
      </c>
      <c r="N60" s="189">
        <v>10000</v>
      </c>
      <c r="O60" s="189">
        <v>15000</v>
      </c>
      <c r="P60" s="189">
        <v>20000</v>
      </c>
      <c r="Q60" s="189" t="s">
        <v>40</v>
      </c>
      <c r="R60" s="189" t="s">
        <v>591</v>
      </c>
      <c r="S60" s="189" t="s">
        <v>40</v>
      </c>
      <c r="T60" s="189" t="s">
        <v>592</v>
      </c>
      <c r="U60" s="189" t="s">
        <v>593</v>
      </c>
      <c r="V60" s="108" t="s">
        <v>40</v>
      </c>
      <c r="W60" s="113" t="s">
        <v>40</v>
      </c>
      <c r="X60" s="113" t="s">
        <v>594</v>
      </c>
    </row>
    <row r="61" s="1" customFormat="1" ht="25" customHeight="1" spans="1:24">
      <c r="A61" s="226"/>
      <c r="B61" s="226"/>
      <c r="C61" s="226"/>
      <c r="D61" s="226"/>
      <c r="E61" s="226"/>
      <c r="F61" s="226"/>
      <c r="G61" s="226"/>
      <c r="H61" s="226"/>
      <c r="I61" s="227"/>
      <c r="J61" s="228" t="s">
        <v>595</v>
      </c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6"/>
      <c r="X61" s="226"/>
    </row>
    <row r="62" s="1" customFormat="1" ht="50" customHeight="1" spans="1:24">
      <c r="A62" s="180">
        <v>52</v>
      </c>
      <c r="B62" s="124" t="s">
        <v>102</v>
      </c>
      <c r="C62" s="182" t="str">
        <f>_xlfn.DISPIMG("ID_58CB13A978C944FEAE326BEF7E8454C2",1)</f>
        <v>=DISPIMG("ID_58CB13A978C944FEAE326BEF7E8454C2",1)</v>
      </c>
      <c r="D62" s="61" t="s">
        <v>596</v>
      </c>
      <c r="E62" s="183" t="s">
        <v>597</v>
      </c>
      <c r="F62" s="64">
        <v>25081778</v>
      </c>
      <c r="G62" s="64" t="s">
        <v>598</v>
      </c>
      <c r="H62" s="64" t="s">
        <v>599</v>
      </c>
      <c r="I62" s="116" t="s">
        <v>600</v>
      </c>
      <c r="J62" s="116" t="s">
        <v>601</v>
      </c>
      <c r="K62" s="157">
        <v>338.5</v>
      </c>
      <c r="L62" s="157">
        <v>96.4</v>
      </c>
      <c r="M62" s="157">
        <v>3.4</v>
      </c>
      <c r="N62" s="184" t="s">
        <v>40</v>
      </c>
      <c r="O62" s="184">
        <v>88000</v>
      </c>
      <c r="P62" s="184">
        <v>88000</v>
      </c>
      <c r="Q62" s="184">
        <v>98000</v>
      </c>
      <c r="R62" s="184" t="s">
        <v>187</v>
      </c>
      <c r="S62" s="184" t="s">
        <v>40</v>
      </c>
      <c r="T62" s="184" t="s">
        <v>602</v>
      </c>
      <c r="U62" s="184" t="s">
        <v>603</v>
      </c>
      <c r="V62" s="116" t="s">
        <v>604</v>
      </c>
      <c r="W62" s="64" t="s">
        <v>605</v>
      </c>
      <c r="X62" s="64" t="s">
        <v>45</v>
      </c>
    </row>
    <row r="63" s="1" customFormat="1" ht="50" customHeight="1" spans="1:24">
      <c r="A63" s="185">
        <v>53</v>
      </c>
      <c r="B63" s="225"/>
      <c r="C63" s="194" t="str">
        <f>_xlfn.DISPIMG("ID_8BCE00600B2C4CC8B5E75810E8F2F99B",1)</f>
        <v>=DISPIMG("ID_8BCE00600B2C4CC8B5E75810E8F2F99B",1)</v>
      </c>
      <c r="D63" s="66" t="s">
        <v>606</v>
      </c>
      <c r="E63" s="186" t="s">
        <v>607</v>
      </c>
      <c r="F63" s="113" t="s">
        <v>608</v>
      </c>
      <c r="G63" s="108" t="s">
        <v>609</v>
      </c>
      <c r="H63" s="113" t="s">
        <v>610</v>
      </c>
      <c r="I63" s="108" t="s">
        <v>611</v>
      </c>
      <c r="J63" s="108" t="s">
        <v>612</v>
      </c>
      <c r="K63" s="188">
        <v>619.2</v>
      </c>
      <c r="L63" s="188">
        <v>71.6</v>
      </c>
      <c r="M63" s="188">
        <v>1.3</v>
      </c>
      <c r="N63" s="189">
        <v>77000</v>
      </c>
      <c r="O63" s="189">
        <v>88000</v>
      </c>
      <c r="P63" s="189">
        <v>99000</v>
      </c>
      <c r="Q63" s="189">
        <v>110000</v>
      </c>
      <c r="R63" s="189" t="s">
        <v>187</v>
      </c>
      <c r="S63" s="189" t="s">
        <v>40</v>
      </c>
      <c r="T63" s="189" t="s">
        <v>613</v>
      </c>
      <c r="U63" s="189" t="s">
        <v>614</v>
      </c>
      <c r="V63" s="108" t="s">
        <v>615</v>
      </c>
      <c r="W63" s="113" t="s">
        <v>616</v>
      </c>
      <c r="X63" s="113" t="s">
        <v>45</v>
      </c>
    </row>
    <row r="64" s="169" customFormat="1" ht="25" customHeight="1" spans="1:24">
      <c r="A64" s="121"/>
      <c r="B64" s="121"/>
      <c r="C64" s="121"/>
      <c r="D64" s="121"/>
      <c r="E64" s="121"/>
      <c r="F64" s="121"/>
      <c r="G64" s="121"/>
      <c r="H64" s="121"/>
      <c r="I64" s="229"/>
      <c r="J64" s="230" t="s">
        <v>617</v>
      </c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</row>
    <row r="65" s="1" customFormat="1" ht="50" customHeight="1" spans="1:24">
      <c r="A65" s="185">
        <v>54</v>
      </c>
      <c r="B65" s="193"/>
      <c r="C65" s="194" t="str">
        <f>_xlfn.DISPIMG("ID_B92A8BE17A1142A1A6DD0525CD4E59B4",1)</f>
        <v>=DISPIMG("ID_B92A8BE17A1142A1A6DD0525CD4E59B4",1)</v>
      </c>
      <c r="D65" s="66" t="s">
        <v>618</v>
      </c>
      <c r="E65" s="186" t="s">
        <v>619</v>
      </c>
      <c r="F65" s="113">
        <v>1184715895</v>
      </c>
      <c r="G65" s="113" t="s">
        <v>620</v>
      </c>
      <c r="H65" s="113" t="s">
        <v>621</v>
      </c>
      <c r="I65" s="108" t="s">
        <v>622</v>
      </c>
      <c r="J65" s="108" t="s">
        <v>623</v>
      </c>
      <c r="K65" s="188">
        <v>499.6</v>
      </c>
      <c r="L65" s="188">
        <v>101.7</v>
      </c>
      <c r="M65" s="188">
        <v>4.3</v>
      </c>
      <c r="N65" s="189">
        <v>88000</v>
      </c>
      <c r="O65" s="189">
        <v>118000</v>
      </c>
      <c r="P65" s="189">
        <v>128000</v>
      </c>
      <c r="Q65" s="189">
        <v>200000</v>
      </c>
      <c r="R65" s="189" t="s">
        <v>187</v>
      </c>
      <c r="S65" s="189" t="s">
        <v>40</v>
      </c>
      <c r="T65" s="189" t="s">
        <v>624</v>
      </c>
      <c r="U65" s="189" t="s">
        <v>625</v>
      </c>
      <c r="V65" s="108" t="s">
        <v>626</v>
      </c>
      <c r="W65" s="113" t="s">
        <v>627</v>
      </c>
      <c r="X65" s="113" t="s">
        <v>45</v>
      </c>
    </row>
    <row r="66" s="1" customFormat="1" ht="50" customHeight="1" spans="1:24">
      <c r="A66" s="180">
        <v>55</v>
      </c>
      <c r="B66" s="124" t="s">
        <v>102</v>
      </c>
      <c r="C66" s="22" t="str">
        <f>_xlfn.DISPIMG("ID_DE278334E28B49CCB87A3206F1ECC926",1)</f>
        <v>=DISPIMG("ID_DE278334E28B49CCB87A3206F1ECC926",1)</v>
      </c>
      <c r="D66" s="23" t="s">
        <v>628</v>
      </c>
      <c r="E66" s="192" t="s">
        <v>629</v>
      </c>
      <c r="F66" s="64" t="s">
        <v>630</v>
      </c>
      <c r="G66" s="64" t="s">
        <v>631</v>
      </c>
      <c r="H66" s="64" t="s">
        <v>632</v>
      </c>
      <c r="I66" s="116" t="s">
        <v>633</v>
      </c>
      <c r="J66" s="116" t="s">
        <v>634</v>
      </c>
      <c r="K66" s="157">
        <v>424.2</v>
      </c>
      <c r="L66" s="157">
        <v>83.2</v>
      </c>
      <c r="M66" s="157">
        <v>0.6</v>
      </c>
      <c r="N66" s="184">
        <v>50000</v>
      </c>
      <c r="O66" s="184">
        <v>60000</v>
      </c>
      <c r="P66" s="184">
        <v>70000</v>
      </c>
      <c r="Q66" s="184">
        <v>80000</v>
      </c>
      <c r="R66" s="184" t="s">
        <v>187</v>
      </c>
      <c r="S66" s="184" t="s">
        <v>40</v>
      </c>
      <c r="T66" s="184" t="s">
        <v>635</v>
      </c>
      <c r="U66" s="184" t="s">
        <v>636</v>
      </c>
      <c r="V66" s="116" t="s">
        <v>637</v>
      </c>
      <c r="W66" s="64" t="s">
        <v>638</v>
      </c>
      <c r="X66" s="64" t="s">
        <v>639</v>
      </c>
    </row>
    <row r="67" s="1" customFormat="1" ht="50" customHeight="1" spans="1:24">
      <c r="A67" s="185">
        <v>56</v>
      </c>
      <c r="B67" s="193"/>
      <c r="C67" s="194" t="str">
        <f>_xlfn.DISPIMG("ID_84E09DBA04F449429C52A0F8BBF9511A",1)</f>
        <v>=DISPIMG("ID_84E09DBA04F449429C52A0F8BBF9511A",1)</v>
      </c>
      <c r="D67" s="66" t="s">
        <v>640</v>
      </c>
      <c r="E67" s="186" t="s">
        <v>641</v>
      </c>
      <c r="F67" s="113">
        <v>25728100</v>
      </c>
      <c r="G67" s="113" t="s">
        <v>631</v>
      </c>
      <c r="H67" s="113" t="s">
        <v>642</v>
      </c>
      <c r="I67" s="108" t="s">
        <v>643</v>
      </c>
      <c r="J67" s="108" t="s">
        <v>644</v>
      </c>
      <c r="K67" s="188">
        <v>164.4</v>
      </c>
      <c r="L67" s="188">
        <v>269.7</v>
      </c>
      <c r="M67" s="188">
        <v>18.1</v>
      </c>
      <c r="N67" s="189">
        <v>35000</v>
      </c>
      <c r="O67" s="189">
        <v>41000</v>
      </c>
      <c r="P67" s="189">
        <v>45000</v>
      </c>
      <c r="Q67" s="189">
        <v>52000</v>
      </c>
      <c r="R67" s="189" t="s">
        <v>187</v>
      </c>
      <c r="S67" s="189">
        <v>30000</v>
      </c>
      <c r="T67" s="189" t="s">
        <v>645</v>
      </c>
      <c r="U67" s="189" t="s">
        <v>646</v>
      </c>
      <c r="V67" s="108" t="s">
        <v>647</v>
      </c>
      <c r="W67" s="113" t="s">
        <v>648</v>
      </c>
      <c r="X67" s="113" t="s">
        <v>573</v>
      </c>
    </row>
    <row r="68" s="1" customFormat="1" ht="50" customHeight="1" spans="1:24">
      <c r="A68" s="180">
        <v>57</v>
      </c>
      <c r="B68" s="231"/>
      <c r="C68" s="22" t="str">
        <f>_xlfn.DISPIMG("ID_983AF3551FD142A28B6EF5D37FE90C59",1)</f>
        <v>=DISPIMG("ID_983AF3551FD142A28B6EF5D37FE90C59",1)</v>
      </c>
      <c r="D68" s="23" t="s">
        <v>649</v>
      </c>
      <c r="E68" s="192" t="s">
        <v>650</v>
      </c>
      <c r="F68" s="64">
        <v>6739527</v>
      </c>
      <c r="G68" s="64" t="s">
        <v>651</v>
      </c>
      <c r="H68" s="64" t="s">
        <v>652</v>
      </c>
      <c r="I68" s="116" t="s">
        <v>653</v>
      </c>
      <c r="J68" s="116" t="s">
        <v>654</v>
      </c>
      <c r="K68" s="157">
        <v>289.6</v>
      </c>
      <c r="L68" s="157">
        <v>87.8</v>
      </c>
      <c r="M68" s="157">
        <v>3.2</v>
      </c>
      <c r="N68" s="184">
        <v>58000</v>
      </c>
      <c r="O68" s="184">
        <v>68000</v>
      </c>
      <c r="P68" s="184">
        <v>78000</v>
      </c>
      <c r="Q68" s="184" t="s">
        <v>40</v>
      </c>
      <c r="R68" s="184" t="s">
        <v>187</v>
      </c>
      <c r="S68" s="184" t="s">
        <v>40</v>
      </c>
      <c r="T68" s="184" t="s">
        <v>655</v>
      </c>
      <c r="U68" s="184" t="s">
        <v>656</v>
      </c>
      <c r="V68" s="116" t="s">
        <v>657</v>
      </c>
      <c r="W68" s="64" t="s">
        <v>658</v>
      </c>
      <c r="X68" s="64" t="s">
        <v>45</v>
      </c>
    </row>
    <row r="69" s="1" customFormat="1" ht="50" customHeight="1" spans="1:24">
      <c r="A69" s="185">
        <v>58</v>
      </c>
      <c r="B69" s="193"/>
      <c r="C69" s="194" t="str">
        <f>_xlfn.DISPIMG("ID_5A2303BEB2E64EB79F2228CF37EA448D",1)</f>
        <v>=DISPIMG("ID_5A2303BEB2E64EB79F2228CF37EA448D",1)</v>
      </c>
      <c r="D69" s="66" t="s">
        <v>659</v>
      </c>
      <c r="E69" s="186" t="s">
        <v>660</v>
      </c>
      <c r="F69" s="113" t="s">
        <v>661</v>
      </c>
      <c r="G69" s="113" t="s">
        <v>631</v>
      </c>
      <c r="H69" s="113" t="s">
        <v>662</v>
      </c>
      <c r="I69" s="108" t="s">
        <v>663</v>
      </c>
      <c r="J69" s="108" t="s">
        <v>664</v>
      </c>
      <c r="K69" s="188">
        <v>394.4</v>
      </c>
      <c r="L69" s="188">
        <v>223.5</v>
      </c>
      <c r="M69" s="188">
        <v>2.7</v>
      </c>
      <c r="N69" s="189">
        <v>32000</v>
      </c>
      <c r="O69" s="189">
        <v>49000</v>
      </c>
      <c r="P69" s="189">
        <v>75000</v>
      </c>
      <c r="Q69" s="189">
        <v>85000</v>
      </c>
      <c r="R69" s="189" t="s">
        <v>187</v>
      </c>
      <c r="S69" s="189" t="s">
        <v>40</v>
      </c>
      <c r="T69" s="189" t="s">
        <v>665</v>
      </c>
      <c r="U69" s="189" t="s">
        <v>666</v>
      </c>
      <c r="V69" s="108" t="s">
        <v>667</v>
      </c>
      <c r="W69" s="113" t="s">
        <v>668</v>
      </c>
      <c r="X69" s="113" t="s">
        <v>573</v>
      </c>
    </row>
    <row r="70" s="1" customFormat="1" ht="50" customHeight="1" spans="1:24">
      <c r="A70" s="180">
        <v>59</v>
      </c>
      <c r="B70" s="231"/>
      <c r="C70" s="22" t="str">
        <f>_xlfn.DISPIMG("ID_A06A04E18C8443698F5C8FFB59C2D25A",1)</f>
        <v>=DISPIMG("ID_A06A04E18C8443698F5C8FFB59C2D25A",1)</v>
      </c>
      <c r="D70" s="23" t="s">
        <v>669</v>
      </c>
      <c r="E70" s="192" t="s">
        <v>670</v>
      </c>
      <c r="F70" s="64" t="s">
        <v>671</v>
      </c>
      <c r="G70" s="64" t="s">
        <v>631</v>
      </c>
      <c r="H70" s="64" t="s">
        <v>672</v>
      </c>
      <c r="I70" s="116" t="s">
        <v>673</v>
      </c>
      <c r="J70" s="116" t="s">
        <v>674</v>
      </c>
      <c r="K70" s="157">
        <v>327.9</v>
      </c>
      <c r="L70" s="157">
        <v>143.6</v>
      </c>
      <c r="M70" s="157">
        <v>1.4</v>
      </c>
      <c r="N70" s="184">
        <v>25000</v>
      </c>
      <c r="O70" s="184">
        <v>28000</v>
      </c>
      <c r="P70" s="184">
        <v>38000</v>
      </c>
      <c r="Q70" s="184">
        <v>48000</v>
      </c>
      <c r="R70" s="184" t="s">
        <v>187</v>
      </c>
      <c r="S70" s="184" t="s">
        <v>40</v>
      </c>
      <c r="T70" s="184" t="s">
        <v>675</v>
      </c>
      <c r="U70" s="184" t="s">
        <v>676</v>
      </c>
      <c r="V70" s="116" t="s">
        <v>677</v>
      </c>
      <c r="W70" s="64" t="s">
        <v>678</v>
      </c>
      <c r="X70" s="64" t="s">
        <v>679</v>
      </c>
    </row>
    <row r="71" s="1" customFormat="1" ht="50" customHeight="1" spans="1:24">
      <c r="A71" s="185">
        <v>60</v>
      </c>
      <c r="B71" s="193"/>
      <c r="C71" s="194" t="str">
        <f>_xlfn.DISPIMG("ID_AEEC780DC1CA46EAAD088BBC47F54980",1)</f>
        <v>=DISPIMG("ID_AEEC780DC1CA46EAAD088BBC47F54980",1)</v>
      </c>
      <c r="D71" s="66" t="s">
        <v>680</v>
      </c>
      <c r="E71" s="186" t="s">
        <v>681</v>
      </c>
      <c r="F71" s="113" t="s">
        <v>682</v>
      </c>
      <c r="G71" s="113" t="s">
        <v>631</v>
      </c>
      <c r="H71" s="113" t="s">
        <v>683</v>
      </c>
      <c r="I71" s="108" t="s">
        <v>684</v>
      </c>
      <c r="J71" s="297" t="s">
        <v>685</v>
      </c>
      <c r="K71" s="188">
        <v>205.4</v>
      </c>
      <c r="L71" s="188">
        <v>106.9</v>
      </c>
      <c r="M71" s="188">
        <v>1.7</v>
      </c>
      <c r="N71" s="189">
        <v>40000</v>
      </c>
      <c r="O71" s="189">
        <v>45000</v>
      </c>
      <c r="P71" s="189">
        <v>65000</v>
      </c>
      <c r="Q71" s="189" t="s">
        <v>40</v>
      </c>
      <c r="R71" s="189" t="s">
        <v>40</v>
      </c>
      <c r="S71" s="189" t="s">
        <v>40</v>
      </c>
      <c r="T71" s="189" t="s">
        <v>686</v>
      </c>
      <c r="U71" s="189" t="s">
        <v>687</v>
      </c>
      <c r="V71" s="108" t="s">
        <v>688</v>
      </c>
      <c r="W71" s="113" t="s">
        <v>689</v>
      </c>
      <c r="X71" s="113" t="s">
        <v>573</v>
      </c>
    </row>
    <row r="72" s="1" customFormat="1" ht="50" customHeight="1" spans="1:24">
      <c r="A72" s="180">
        <v>61</v>
      </c>
      <c r="B72" s="231"/>
      <c r="C72" s="22" t="str">
        <f>_xlfn.DISPIMG("ID_70F1F0FFC48B4E6CBAAB57AAD6082D8C",1)</f>
        <v>=DISPIMG("ID_70F1F0FFC48B4E6CBAAB57AAD6082D8C",1)</v>
      </c>
      <c r="D72" s="23" t="s">
        <v>690</v>
      </c>
      <c r="E72" s="192" t="s">
        <v>691</v>
      </c>
      <c r="F72" s="64" t="s">
        <v>692</v>
      </c>
      <c r="G72" s="64" t="s">
        <v>631</v>
      </c>
      <c r="H72" s="64" t="s">
        <v>693</v>
      </c>
      <c r="I72" s="116" t="s">
        <v>694</v>
      </c>
      <c r="J72" s="298" t="s">
        <v>695</v>
      </c>
      <c r="K72" s="157">
        <v>150.5</v>
      </c>
      <c r="L72" s="157">
        <v>336.9</v>
      </c>
      <c r="M72" s="157">
        <v>6</v>
      </c>
      <c r="N72" s="184">
        <v>38000</v>
      </c>
      <c r="O72" s="184">
        <v>38000</v>
      </c>
      <c r="P72" s="184">
        <v>48000</v>
      </c>
      <c r="Q72" s="184">
        <v>58000</v>
      </c>
      <c r="R72" s="184" t="s">
        <v>696</v>
      </c>
      <c r="S72" s="184">
        <v>38000</v>
      </c>
      <c r="T72" s="184" t="s">
        <v>697</v>
      </c>
      <c r="U72" s="184" t="s">
        <v>698</v>
      </c>
      <c r="V72" s="116" t="s">
        <v>699</v>
      </c>
      <c r="W72" s="64" t="s">
        <v>700</v>
      </c>
      <c r="X72" s="64" t="s">
        <v>45</v>
      </c>
    </row>
    <row r="73" s="1" customFormat="1" ht="50" customHeight="1" spans="1:24">
      <c r="A73" s="185">
        <v>62</v>
      </c>
      <c r="B73" s="193"/>
      <c r="C73" s="194" t="str">
        <f>_xlfn.DISPIMG("ID_792E1E57CCA94F6DA3311C7643148082",1)</f>
        <v>=DISPIMG("ID_792E1E57CCA94F6DA3311C7643148082",1)</v>
      </c>
      <c r="D73" s="66" t="s">
        <v>701</v>
      </c>
      <c r="E73" s="186" t="s">
        <v>702</v>
      </c>
      <c r="F73" s="113" t="s">
        <v>703</v>
      </c>
      <c r="G73" s="113" t="s">
        <v>704</v>
      </c>
      <c r="H73" s="113" t="s">
        <v>705</v>
      </c>
      <c r="I73" s="108" t="s">
        <v>706</v>
      </c>
      <c r="J73" s="108" t="s">
        <v>707</v>
      </c>
      <c r="K73" s="188">
        <v>44.8</v>
      </c>
      <c r="L73" s="188">
        <v>129.8</v>
      </c>
      <c r="M73" s="188">
        <v>2.7</v>
      </c>
      <c r="N73" s="189">
        <v>6000</v>
      </c>
      <c r="O73" s="189">
        <v>10000</v>
      </c>
      <c r="P73" s="189">
        <v>15000</v>
      </c>
      <c r="Q73" s="189">
        <v>25000</v>
      </c>
      <c r="R73" s="189" t="s">
        <v>187</v>
      </c>
      <c r="S73" s="189" t="s">
        <v>40</v>
      </c>
      <c r="T73" s="189" t="s">
        <v>708</v>
      </c>
      <c r="U73" s="189" t="s">
        <v>709</v>
      </c>
      <c r="V73" s="108" t="s">
        <v>710</v>
      </c>
      <c r="W73" s="113" t="s">
        <v>40</v>
      </c>
      <c r="X73" s="113" t="s">
        <v>45</v>
      </c>
    </row>
    <row r="74" s="1" customFormat="1" ht="50" customHeight="1" spans="1:24">
      <c r="A74" s="180">
        <v>63</v>
      </c>
      <c r="B74" s="231"/>
      <c r="C74" s="22" t="str">
        <f>_xlfn.DISPIMG("ID_2FF67B11DFB0425692DB0B5545CE743A",1)</f>
        <v>=DISPIMG("ID_2FF67B11DFB0425692DB0B5545CE743A",1)</v>
      </c>
      <c r="D74" s="23" t="s">
        <v>711</v>
      </c>
      <c r="E74" s="192" t="s">
        <v>712</v>
      </c>
      <c r="F74" s="64" t="s">
        <v>713</v>
      </c>
      <c r="G74" s="64" t="s">
        <v>704</v>
      </c>
      <c r="H74" s="64" t="s">
        <v>714</v>
      </c>
      <c r="I74" s="116" t="s">
        <v>715</v>
      </c>
      <c r="J74" s="116" t="s">
        <v>716</v>
      </c>
      <c r="K74" s="157">
        <v>482.8</v>
      </c>
      <c r="L74" s="157">
        <v>67.6</v>
      </c>
      <c r="M74" s="157">
        <v>5.1</v>
      </c>
      <c r="N74" s="184">
        <v>50000</v>
      </c>
      <c r="O74" s="184">
        <v>62000</v>
      </c>
      <c r="P74" s="184">
        <v>76000</v>
      </c>
      <c r="Q74" s="184">
        <v>86000</v>
      </c>
      <c r="R74" s="184" t="s">
        <v>187</v>
      </c>
      <c r="S74" s="184" t="s">
        <v>40</v>
      </c>
      <c r="T74" s="184" t="s">
        <v>717</v>
      </c>
      <c r="U74" s="184" t="s">
        <v>718</v>
      </c>
      <c r="V74" s="116" t="s">
        <v>719</v>
      </c>
      <c r="W74" s="64" t="s">
        <v>720</v>
      </c>
      <c r="X74" s="64" t="s">
        <v>45</v>
      </c>
    </row>
    <row r="75" s="1" customFormat="1" ht="50" customHeight="1" spans="1:24">
      <c r="A75" s="185">
        <v>65</v>
      </c>
      <c r="B75" s="193"/>
      <c r="C75" s="194" t="str">
        <f>_xlfn.DISPIMG("ID_A412230D60AB468488551983E18F68BC",1)</f>
        <v>=DISPIMG("ID_A412230D60AB468488551983E18F68BC",1)</v>
      </c>
      <c r="D75" s="66" t="s">
        <v>721</v>
      </c>
      <c r="E75" s="186" t="s">
        <v>722</v>
      </c>
      <c r="F75" s="113">
        <v>97700283392</v>
      </c>
      <c r="G75" s="113" t="s">
        <v>723</v>
      </c>
      <c r="H75" s="113" t="s">
        <v>724</v>
      </c>
      <c r="I75" s="108" t="s">
        <v>725</v>
      </c>
      <c r="J75" s="108" t="s">
        <v>726</v>
      </c>
      <c r="K75" s="188">
        <v>13.1</v>
      </c>
      <c r="L75" s="188" t="s">
        <v>40</v>
      </c>
      <c r="M75" s="188" t="s">
        <v>40</v>
      </c>
      <c r="N75" s="189">
        <v>8000</v>
      </c>
      <c r="O75" s="189">
        <v>12000</v>
      </c>
      <c r="P75" s="189">
        <v>15000</v>
      </c>
      <c r="Q75" s="189">
        <v>25000</v>
      </c>
      <c r="R75" s="189" t="s">
        <v>40</v>
      </c>
      <c r="S75" s="189" t="s">
        <v>40</v>
      </c>
      <c r="T75" s="189" t="s">
        <v>727</v>
      </c>
      <c r="U75" s="189" t="s">
        <v>728</v>
      </c>
      <c r="V75" s="108" t="s">
        <v>729</v>
      </c>
      <c r="W75" s="113" t="s">
        <v>40</v>
      </c>
      <c r="X75" s="113" t="s">
        <v>45</v>
      </c>
    </row>
    <row r="76" s="167" customFormat="1" ht="25" customHeight="1" spans="1:24">
      <c r="A76" s="127"/>
      <c r="B76" s="127"/>
      <c r="C76" s="127"/>
      <c r="D76" s="127"/>
      <c r="E76" s="127"/>
      <c r="F76" s="127"/>
      <c r="G76" s="127"/>
      <c r="H76" s="127"/>
      <c r="I76" s="232"/>
      <c r="J76" s="233" t="s">
        <v>730</v>
      </c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</row>
    <row r="77" s="1" customFormat="1" ht="50" customHeight="1" spans="1:24">
      <c r="A77" s="185">
        <v>66</v>
      </c>
      <c r="B77" s="225"/>
      <c r="C77" s="194" t="str">
        <f>_xlfn.DISPIMG("ID_04B9406E73AD45868CFDE025F1A67C64",1)</f>
        <v>=DISPIMG("ID_04B9406E73AD45868CFDE025F1A67C64",1)</v>
      </c>
      <c r="D77" s="66" t="s">
        <v>731</v>
      </c>
      <c r="E77" s="186" t="s">
        <v>732</v>
      </c>
      <c r="F77" s="113">
        <v>20396292</v>
      </c>
      <c r="G77" s="66" t="s">
        <v>733</v>
      </c>
      <c r="H77" s="113" t="s">
        <v>734</v>
      </c>
      <c r="I77" s="108" t="s">
        <v>735</v>
      </c>
      <c r="J77" s="108" t="s">
        <v>736</v>
      </c>
      <c r="K77" s="188">
        <v>136.9</v>
      </c>
      <c r="L77" s="188">
        <v>88.5</v>
      </c>
      <c r="M77" s="188">
        <v>1.9</v>
      </c>
      <c r="N77" s="189">
        <v>91000</v>
      </c>
      <c r="O77" s="189">
        <v>101000</v>
      </c>
      <c r="P77" s="189">
        <v>120000</v>
      </c>
      <c r="Q77" s="189">
        <v>180000</v>
      </c>
      <c r="R77" s="189" t="s">
        <v>187</v>
      </c>
      <c r="S77" s="189" t="s">
        <v>40</v>
      </c>
      <c r="T77" s="189" t="s">
        <v>737</v>
      </c>
      <c r="U77" s="189" t="s">
        <v>738</v>
      </c>
      <c r="V77" s="108" t="s">
        <v>739</v>
      </c>
      <c r="W77" s="113" t="s">
        <v>740</v>
      </c>
      <c r="X77" s="113" t="s">
        <v>562</v>
      </c>
    </row>
    <row r="78" s="1" customFormat="1" ht="50" customHeight="1" spans="1:24">
      <c r="A78" s="195">
        <v>67</v>
      </c>
      <c r="B78" s="231"/>
      <c r="C78" s="205" t="str">
        <f>_xlfn.DISPIMG("ID_918CC43491354479B68FB81A3D0E4BA3",1)</f>
        <v>=DISPIMG("ID_918CC43491354479B68FB81A3D0E4BA3",1)</v>
      </c>
      <c r="D78" s="23" t="s">
        <v>741</v>
      </c>
      <c r="E78" s="192" t="s">
        <v>742</v>
      </c>
      <c r="F78" s="64" t="s">
        <v>743</v>
      </c>
      <c r="G78" s="64" t="s">
        <v>744</v>
      </c>
      <c r="H78" s="64" t="s">
        <v>745</v>
      </c>
      <c r="I78" s="116" t="s">
        <v>746</v>
      </c>
      <c r="J78" s="116" t="s">
        <v>747</v>
      </c>
      <c r="K78" s="157">
        <v>148.9</v>
      </c>
      <c r="L78" s="157" t="s">
        <v>40</v>
      </c>
      <c r="M78" s="157">
        <v>10.9</v>
      </c>
      <c r="N78" s="184">
        <v>35000</v>
      </c>
      <c r="O78" s="184">
        <v>45000</v>
      </c>
      <c r="P78" s="184">
        <v>50000</v>
      </c>
      <c r="Q78" s="184">
        <v>60000</v>
      </c>
      <c r="R78" s="184" t="s">
        <v>187</v>
      </c>
      <c r="S78" s="184" t="s">
        <v>40</v>
      </c>
      <c r="T78" s="184" t="s">
        <v>748</v>
      </c>
      <c r="U78" s="184" t="s">
        <v>749</v>
      </c>
      <c r="V78" s="116" t="s">
        <v>750</v>
      </c>
      <c r="W78" s="64" t="s">
        <v>751</v>
      </c>
      <c r="X78" s="64" t="s">
        <v>45</v>
      </c>
    </row>
    <row r="79" s="1" customFormat="1" ht="50" customHeight="1" spans="1:24">
      <c r="A79" s="185">
        <v>68</v>
      </c>
      <c r="B79" s="225"/>
      <c r="C79" s="194" t="str">
        <f>_xlfn.DISPIMG("ID_96F902CF6DC9447CA83C0F706D1423F1",1)</f>
        <v>=DISPIMG("ID_96F902CF6DC9447CA83C0F706D1423F1",1)</v>
      </c>
      <c r="D79" s="66" t="s">
        <v>752</v>
      </c>
      <c r="E79" s="186" t="s">
        <v>753</v>
      </c>
      <c r="F79" s="113">
        <v>54263633927</v>
      </c>
      <c r="G79" s="66" t="s">
        <v>754</v>
      </c>
      <c r="H79" s="113" t="s">
        <v>755</v>
      </c>
      <c r="I79" s="108" t="s">
        <v>756</v>
      </c>
      <c r="J79" s="108" t="s">
        <v>757</v>
      </c>
      <c r="K79" s="188">
        <v>124.9</v>
      </c>
      <c r="L79" s="188">
        <v>54.5</v>
      </c>
      <c r="M79" s="188">
        <v>2.5</v>
      </c>
      <c r="N79" s="189">
        <v>57000</v>
      </c>
      <c r="O79" s="189">
        <v>64000</v>
      </c>
      <c r="P79" s="189">
        <v>75000</v>
      </c>
      <c r="Q79" s="189">
        <v>100000</v>
      </c>
      <c r="R79" s="189" t="s">
        <v>187</v>
      </c>
      <c r="S79" s="189" t="s">
        <v>758</v>
      </c>
      <c r="T79" s="189" t="s">
        <v>759</v>
      </c>
      <c r="U79" s="189" t="s">
        <v>760</v>
      </c>
      <c r="V79" s="108" t="s">
        <v>761</v>
      </c>
      <c r="W79" s="113" t="s">
        <v>762</v>
      </c>
      <c r="X79" s="113" t="s">
        <v>562</v>
      </c>
    </row>
    <row r="80" s="166" customFormat="1" ht="25" customHeight="1" spans="1:24">
      <c r="A80" s="130"/>
      <c r="B80" s="130"/>
      <c r="C80" s="130"/>
      <c r="D80" s="130"/>
      <c r="E80" s="130"/>
      <c r="F80" s="130"/>
      <c r="G80" s="130"/>
      <c r="H80" s="130"/>
      <c r="I80" s="190"/>
      <c r="J80" s="191" t="s">
        <v>763</v>
      </c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</row>
    <row r="81" s="1" customFormat="1" ht="50" customHeight="1" spans="1:24">
      <c r="A81" s="185">
        <v>69</v>
      </c>
      <c r="B81" s="225"/>
      <c r="C81" s="194" t="str">
        <f>_xlfn.DISPIMG("ID_2A909E8A25084C82BBCCB7755957DE7A",1)</f>
        <v>=DISPIMG("ID_2A909E8A25084C82BBCCB7755957DE7A",1)</v>
      </c>
      <c r="D81" s="66" t="s">
        <v>764</v>
      </c>
      <c r="E81" s="213" t="s">
        <v>765</v>
      </c>
      <c r="F81" s="113" t="s">
        <v>766</v>
      </c>
      <c r="G81" s="113" t="s">
        <v>767</v>
      </c>
      <c r="H81" s="113" t="s">
        <v>768</v>
      </c>
      <c r="I81" s="108" t="s">
        <v>769</v>
      </c>
      <c r="J81" s="108" t="s">
        <v>770</v>
      </c>
      <c r="K81" s="188">
        <v>1132.3</v>
      </c>
      <c r="L81" s="188">
        <v>74.1</v>
      </c>
      <c r="M81" s="188">
        <v>1.2</v>
      </c>
      <c r="N81" s="189">
        <v>140000</v>
      </c>
      <c r="O81" s="189">
        <v>160000</v>
      </c>
      <c r="P81" s="189">
        <v>180000</v>
      </c>
      <c r="Q81" s="189">
        <v>250000</v>
      </c>
      <c r="R81" s="189" t="s">
        <v>187</v>
      </c>
      <c r="S81" s="189" t="s">
        <v>40</v>
      </c>
      <c r="T81" s="189" t="s">
        <v>771</v>
      </c>
      <c r="U81" s="189" t="s">
        <v>772</v>
      </c>
      <c r="V81" s="108" t="s">
        <v>773</v>
      </c>
      <c r="W81" s="113" t="s">
        <v>774</v>
      </c>
      <c r="X81" s="113" t="s">
        <v>775</v>
      </c>
    </row>
    <row r="82" s="1" customFormat="1" ht="50" customHeight="1" spans="1:24">
      <c r="A82" s="195">
        <v>70</v>
      </c>
      <c r="B82" s="124" t="s">
        <v>518</v>
      </c>
      <c r="C82" s="205" t="str">
        <f>_xlfn.DISPIMG("ID_CD0F50CCCD824C92AFDEBB40BF3807E8",1)</f>
        <v>=DISPIMG("ID_CD0F50CCCD824C92AFDEBB40BF3807E8",1)</v>
      </c>
      <c r="D82" s="23" t="s">
        <v>776</v>
      </c>
      <c r="E82" s="183" t="s">
        <v>777</v>
      </c>
      <c r="F82" s="64" t="s">
        <v>778</v>
      </c>
      <c r="G82" s="64" t="s">
        <v>779</v>
      </c>
      <c r="H82" s="64" t="s">
        <v>780</v>
      </c>
      <c r="I82" s="116" t="s">
        <v>781</v>
      </c>
      <c r="J82" s="298" t="s">
        <v>782</v>
      </c>
      <c r="K82" s="157">
        <v>1027.2</v>
      </c>
      <c r="L82" s="157">
        <v>28</v>
      </c>
      <c r="M82" s="157">
        <v>0.7</v>
      </c>
      <c r="N82" s="184">
        <v>158000</v>
      </c>
      <c r="O82" s="184">
        <v>178000</v>
      </c>
      <c r="P82" s="184">
        <v>200000</v>
      </c>
      <c r="Q82" s="184" t="s">
        <v>40</v>
      </c>
      <c r="R82" s="184" t="s">
        <v>175</v>
      </c>
      <c r="S82" s="184" t="s">
        <v>40</v>
      </c>
      <c r="T82" s="184" t="s">
        <v>783</v>
      </c>
      <c r="U82" s="184" t="s">
        <v>784</v>
      </c>
      <c r="V82" s="184" t="s">
        <v>785</v>
      </c>
      <c r="W82" s="64" t="s">
        <v>786</v>
      </c>
      <c r="X82" s="64" t="s">
        <v>45</v>
      </c>
    </row>
    <row r="83" s="1" customFormat="1" ht="50" customHeight="1" spans="1:24">
      <c r="A83" s="185">
        <v>71</v>
      </c>
      <c r="B83" s="209" t="s">
        <v>518</v>
      </c>
      <c r="C83" s="194" t="str">
        <f>_xlfn.DISPIMG("ID_E4D182802A47458298E6F0461565D148",1)</f>
        <v>=DISPIMG("ID_E4D182802A47458298E6F0461565D148",1)</v>
      </c>
      <c r="D83" s="66" t="s">
        <v>787</v>
      </c>
      <c r="E83" s="213" t="s">
        <v>788</v>
      </c>
      <c r="F83" s="113" t="s">
        <v>789</v>
      </c>
      <c r="G83" s="113" t="s">
        <v>790</v>
      </c>
      <c r="H83" s="113" t="s">
        <v>791</v>
      </c>
      <c r="I83" s="108" t="s">
        <v>792</v>
      </c>
      <c r="J83" s="297" t="s">
        <v>793</v>
      </c>
      <c r="K83" s="188">
        <v>955.7</v>
      </c>
      <c r="L83" s="188">
        <v>50</v>
      </c>
      <c r="M83" s="188">
        <v>1.4</v>
      </c>
      <c r="N83" s="189">
        <v>50000</v>
      </c>
      <c r="O83" s="189">
        <v>60000</v>
      </c>
      <c r="P83" s="189">
        <v>70000</v>
      </c>
      <c r="Q83" s="189" t="s">
        <v>40</v>
      </c>
      <c r="R83" s="189" t="s">
        <v>40</v>
      </c>
      <c r="S83" s="189" t="s">
        <v>40</v>
      </c>
      <c r="T83" s="189" t="s">
        <v>429</v>
      </c>
      <c r="U83" s="189" t="s">
        <v>794</v>
      </c>
      <c r="V83" s="108" t="s">
        <v>795</v>
      </c>
      <c r="W83" s="113" t="s">
        <v>796</v>
      </c>
      <c r="X83" s="113" t="s">
        <v>45</v>
      </c>
    </row>
    <row r="84" s="1" customFormat="1" ht="50" customHeight="1" spans="1:24">
      <c r="A84" s="195">
        <v>72</v>
      </c>
      <c r="B84" s="124"/>
      <c r="C84" s="205" t="str">
        <f>_xlfn.DISPIMG("ID_EFC9750CF8E540E9B6079702B9F810EA",1)</f>
        <v>=DISPIMG("ID_EFC9750CF8E540E9B6079702B9F810EA",1)</v>
      </c>
      <c r="D84" s="23" t="s">
        <v>797</v>
      </c>
      <c r="E84" s="183" t="s">
        <v>798</v>
      </c>
      <c r="F84" s="64" t="s">
        <v>799</v>
      </c>
      <c r="G84" s="64" t="s">
        <v>800</v>
      </c>
      <c r="H84" s="64" t="s">
        <v>801</v>
      </c>
      <c r="I84" s="116" t="s">
        <v>802</v>
      </c>
      <c r="J84" s="116" t="s">
        <v>803</v>
      </c>
      <c r="K84" s="157">
        <v>259</v>
      </c>
      <c r="L84" s="157">
        <v>23.9</v>
      </c>
      <c r="M84" s="157">
        <v>0.8</v>
      </c>
      <c r="N84" s="184">
        <v>98000</v>
      </c>
      <c r="O84" s="184">
        <v>98000</v>
      </c>
      <c r="P84" s="184">
        <v>138000</v>
      </c>
      <c r="Q84" s="184">
        <v>148000</v>
      </c>
      <c r="R84" s="184" t="s">
        <v>187</v>
      </c>
      <c r="S84" s="184" t="s">
        <v>40</v>
      </c>
      <c r="T84" s="184" t="s">
        <v>804</v>
      </c>
      <c r="U84" s="184" t="s">
        <v>805</v>
      </c>
      <c r="V84" s="184" t="s">
        <v>806</v>
      </c>
      <c r="W84" s="64" t="s">
        <v>807</v>
      </c>
      <c r="X84" s="64" t="s">
        <v>45</v>
      </c>
    </row>
    <row r="85" s="1" customFormat="1" ht="50" customHeight="1" spans="1:24">
      <c r="A85" s="185">
        <v>73</v>
      </c>
      <c r="B85" s="225"/>
      <c r="C85" s="66" t="str">
        <f>_xlfn.DISPIMG("ID_1E53894226F0447CA4D62FA5B8BA1118",1)</f>
        <v>=DISPIMG("ID_1E53894226F0447CA4D62FA5B8BA1118",1)</v>
      </c>
      <c r="D85" s="66" t="s">
        <v>808</v>
      </c>
      <c r="E85" s="113" t="s">
        <v>809</v>
      </c>
      <c r="F85" s="113">
        <v>73352014725</v>
      </c>
      <c r="G85" s="113" t="s">
        <v>810</v>
      </c>
      <c r="H85" s="108" t="s">
        <v>811</v>
      </c>
      <c r="I85" s="108" t="s">
        <v>812</v>
      </c>
      <c r="J85" s="297" t="s">
        <v>813</v>
      </c>
      <c r="K85" s="188">
        <v>136.6</v>
      </c>
      <c r="L85" s="188">
        <v>182.3</v>
      </c>
      <c r="M85" s="188">
        <v>4.3</v>
      </c>
      <c r="N85" s="189">
        <v>30000</v>
      </c>
      <c r="O85" s="189">
        <v>35000</v>
      </c>
      <c r="P85" s="189">
        <v>45000</v>
      </c>
      <c r="Q85" s="189" t="s">
        <v>40</v>
      </c>
      <c r="R85" s="189" t="s">
        <v>814</v>
      </c>
      <c r="S85" s="189" t="s">
        <v>40</v>
      </c>
      <c r="T85" s="189" t="s">
        <v>815</v>
      </c>
      <c r="U85" s="189" t="s">
        <v>816</v>
      </c>
      <c r="V85" s="108" t="s">
        <v>817</v>
      </c>
      <c r="W85" s="113" t="s">
        <v>818</v>
      </c>
      <c r="X85" s="113" t="s">
        <v>819</v>
      </c>
    </row>
    <row r="86" s="1" customFormat="1" ht="50" customHeight="1" spans="1:24">
      <c r="A86" s="195">
        <v>74</v>
      </c>
      <c r="B86" s="124"/>
      <c r="C86" s="205" t="str">
        <f>_xlfn.DISPIMG("ID_DC126CE61D9344459D5C67F122FC46EE",1)</f>
        <v>=DISPIMG("ID_DC126CE61D9344459D5C67F122FC46EE",1)</v>
      </c>
      <c r="D86" s="23" t="s">
        <v>820</v>
      </c>
      <c r="E86" s="183" t="s">
        <v>821</v>
      </c>
      <c r="F86" s="64" t="s">
        <v>822</v>
      </c>
      <c r="G86" s="64" t="s">
        <v>823</v>
      </c>
      <c r="H86" s="64" t="s">
        <v>824</v>
      </c>
      <c r="I86" s="116" t="s">
        <v>825</v>
      </c>
      <c r="J86" s="116" t="s">
        <v>826</v>
      </c>
      <c r="K86" s="157">
        <v>66.7</v>
      </c>
      <c r="L86" s="157">
        <v>126.7</v>
      </c>
      <c r="M86" s="157">
        <v>2.3</v>
      </c>
      <c r="N86" s="184">
        <v>26000</v>
      </c>
      <c r="O86" s="184">
        <v>35000</v>
      </c>
      <c r="P86" s="184">
        <v>42000</v>
      </c>
      <c r="Q86" s="184">
        <v>52000</v>
      </c>
      <c r="R86" s="184" t="s">
        <v>175</v>
      </c>
      <c r="S86" s="184" t="s">
        <v>40</v>
      </c>
      <c r="T86" s="184" t="s">
        <v>827</v>
      </c>
      <c r="U86" s="184" t="s">
        <v>828</v>
      </c>
      <c r="V86" s="184" t="s">
        <v>829</v>
      </c>
      <c r="W86" s="64" t="s">
        <v>830</v>
      </c>
      <c r="X86" s="64" t="s">
        <v>45</v>
      </c>
    </row>
    <row r="87" s="1" customFormat="1" ht="50" customHeight="1" spans="1:24">
      <c r="A87" s="185">
        <v>75</v>
      </c>
      <c r="B87" s="209" t="s">
        <v>518</v>
      </c>
      <c r="C87" s="225" t="str">
        <f>_xlfn.DISPIMG("ID_A6F025CCCD2A49668E318B310BB2E213",1)</f>
        <v>=DISPIMG("ID_A6F025CCCD2A49668E318B310BB2E213",1)</v>
      </c>
      <c r="D87" s="66" t="s">
        <v>831</v>
      </c>
      <c r="E87" s="213" t="s">
        <v>832</v>
      </c>
      <c r="F87" s="113" t="s">
        <v>833</v>
      </c>
      <c r="G87" s="113" t="s">
        <v>790</v>
      </c>
      <c r="H87" s="108" t="s">
        <v>834</v>
      </c>
      <c r="I87" s="108" t="s">
        <v>835</v>
      </c>
      <c r="J87" s="297" t="s">
        <v>836</v>
      </c>
      <c r="K87" s="188">
        <v>96</v>
      </c>
      <c r="L87" s="188">
        <v>137.2</v>
      </c>
      <c r="M87" s="188">
        <v>16</v>
      </c>
      <c r="N87" s="189">
        <v>18000</v>
      </c>
      <c r="O87" s="189">
        <v>24000</v>
      </c>
      <c r="P87" s="189">
        <v>30000</v>
      </c>
      <c r="Q87" s="189">
        <v>40000</v>
      </c>
      <c r="R87" s="189" t="s">
        <v>837</v>
      </c>
      <c r="S87" s="189" t="s">
        <v>40</v>
      </c>
      <c r="T87" s="189" t="s">
        <v>838</v>
      </c>
      <c r="U87" s="189" t="s">
        <v>839</v>
      </c>
      <c r="V87" s="108" t="s">
        <v>840</v>
      </c>
      <c r="W87" s="113" t="s">
        <v>841</v>
      </c>
      <c r="X87" s="113" t="s">
        <v>842</v>
      </c>
    </row>
    <row r="88" s="1" customFormat="1" ht="50" customHeight="1" spans="1:24">
      <c r="A88" s="195">
        <v>76</v>
      </c>
      <c r="B88" s="124" t="s">
        <v>518</v>
      </c>
      <c r="C88" s="205" t="str">
        <f>_xlfn.DISPIMG("ID_D3746F5F0C434E6C947859C6AE53CE2A",1)</f>
        <v>=DISPIMG("ID_D3746F5F0C434E6C947859C6AE53CE2A",1)</v>
      </c>
      <c r="D88" s="23" t="s">
        <v>843</v>
      </c>
      <c r="E88" s="183" t="s">
        <v>844</v>
      </c>
      <c r="F88" s="64" t="s">
        <v>845</v>
      </c>
      <c r="G88" s="64" t="s">
        <v>823</v>
      </c>
      <c r="H88" s="64" t="s">
        <v>846</v>
      </c>
      <c r="I88" s="116" t="s">
        <v>847</v>
      </c>
      <c r="J88" s="116" t="s">
        <v>848</v>
      </c>
      <c r="K88" s="157">
        <v>81.6</v>
      </c>
      <c r="L88" s="157">
        <v>207.4</v>
      </c>
      <c r="M88" s="157">
        <v>5.1</v>
      </c>
      <c r="N88" s="184">
        <v>18000</v>
      </c>
      <c r="O88" s="184">
        <v>35000</v>
      </c>
      <c r="P88" s="184">
        <v>50000</v>
      </c>
      <c r="Q88" s="184">
        <v>60000</v>
      </c>
      <c r="R88" s="184" t="s">
        <v>187</v>
      </c>
      <c r="S88" s="184" t="s">
        <v>40</v>
      </c>
      <c r="T88" s="184" t="s">
        <v>849</v>
      </c>
      <c r="U88" s="184" t="s">
        <v>850</v>
      </c>
      <c r="V88" s="184" t="s">
        <v>851</v>
      </c>
      <c r="W88" s="64" t="s">
        <v>852</v>
      </c>
      <c r="X88" s="64" t="s">
        <v>853</v>
      </c>
    </row>
    <row r="89" s="1" customFormat="1" ht="50" customHeight="1" spans="1:24">
      <c r="A89" s="185">
        <v>77</v>
      </c>
      <c r="B89" s="66"/>
      <c r="C89" s="66" t="str">
        <f>_xlfn.DISPIMG("ID_FDC8BBE22A3C48C7BED29A4072716614",1)</f>
        <v>=DISPIMG("ID_FDC8BBE22A3C48C7BED29A4072716614",1)</v>
      </c>
      <c r="D89" s="66" t="s">
        <v>854</v>
      </c>
      <c r="E89" s="213" t="s">
        <v>855</v>
      </c>
      <c r="F89" s="113">
        <v>29994506811</v>
      </c>
      <c r="G89" s="113" t="s">
        <v>823</v>
      </c>
      <c r="H89" s="113" t="s">
        <v>856</v>
      </c>
      <c r="I89" s="108" t="s">
        <v>857</v>
      </c>
      <c r="J89" s="297" t="s">
        <v>858</v>
      </c>
      <c r="K89" s="188">
        <v>42.9</v>
      </c>
      <c r="L89" s="188">
        <v>49.3</v>
      </c>
      <c r="M89" s="188">
        <v>2.3</v>
      </c>
      <c r="N89" s="189">
        <v>15000</v>
      </c>
      <c r="O89" s="189">
        <v>22000</v>
      </c>
      <c r="P89" s="189">
        <v>30000</v>
      </c>
      <c r="Q89" s="189" t="s">
        <v>40</v>
      </c>
      <c r="R89" s="189" t="s">
        <v>64</v>
      </c>
      <c r="S89" s="189" t="s">
        <v>40</v>
      </c>
      <c r="T89" s="189" t="s">
        <v>859</v>
      </c>
      <c r="U89" s="189" t="s">
        <v>860</v>
      </c>
      <c r="V89" s="108" t="s">
        <v>861</v>
      </c>
      <c r="W89" s="113" t="s">
        <v>862</v>
      </c>
      <c r="X89" s="113" t="s">
        <v>562</v>
      </c>
    </row>
    <row r="90" s="1" customFormat="1" ht="50" customHeight="1" spans="1:24">
      <c r="A90" s="195">
        <v>78</v>
      </c>
      <c r="B90" s="124"/>
      <c r="C90" s="205" t="str">
        <f>_xlfn.DISPIMG("ID_5C96A558D2814A1081C1D1C7C29F22F8",1)</f>
        <v>=DISPIMG("ID_5C96A558D2814A1081C1D1C7C29F22F8",1)</v>
      </c>
      <c r="D90" s="23" t="s">
        <v>863</v>
      </c>
      <c r="E90" s="183" t="s">
        <v>864</v>
      </c>
      <c r="F90" s="64" t="s">
        <v>865</v>
      </c>
      <c r="G90" s="64" t="s">
        <v>866</v>
      </c>
      <c r="H90" s="64" t="s">
        <v>867</v>
      </c>
      <c r="I90" s="116" t="s">
        <v>868</v>
      </c>
      <c r="J90" s="116" t="s">
        <v>869</v>
      </c>
      <c r="K90" s="157">
        <v>129.9</v>
      </c>
      <c r="L90" s="157">
        <v>445.3</v>
      </c>
      <c r="M90" s="157">
        <v>20.6</v>
      </c>
      <c r="N90" s="184">
        <v>22000</v>
      </c>
      <c r="O90" s="184">
        <v>22000</v>
      </c>
      <c r="P90" s="184">
        <v>32500</v>
      </c>
      <c r="Q90" s="184">
        <v>42500</v>
      </c>
      <c r="R90" s="184" t="s">
        <v>187</v>
      </c>
      <c r="S90" s="184">
        <v>22000</v>
      </c>
      <c r="T90" s="184" t="s">
        <v>870</v>
      </c>
      <c r="U90" s="184" t="s">
        <v>871</v>
      </c>
      <c r="V90" s="184" t="s">
        <v>872</v>
      </c>
      <c r="W90" s="64" t="s">
        <v>873</v>
      </c>
      <c r="X90" s="64" t="s">
        <v>45</v>
      </c>
    </row>
    <row r="91" s="1" customFormat="1" ht="50" customHeight="1" spans="1:24">
      <c r="A91" s="185">
        <v>79</v>
      </c>
      <c r="B91" s="66"/>
      <c r="C91" s="66" t="str">
        <f>_xlfn.DISPIMG("ID_854255A79A754EAEB34FAE071AA75CD8",1)</f>
        <v>=DISPIMG("ID_854255A79A754EAEB34FAE071AA75CD8",1)</v>
      </c>
      <c r="D91" s="66" t="s">
        <v>874</v>
      </c>
      <c r="E91" s="213" t="s">
        <v>875</v>
      </c>
      <c r="F91" s="113" t="s">
        <v>876</v>
      </c>
      <c r="G91" s="113" t="s">
        <v>800</v>
      </c>
      <c r="H91" s="113" t="s">
        <v>877</v>
      </c>
      <c r="I91" s="108" t="s">
        <v>878</v>
      </c>
      <c r="J91" s="108" t="s">
        <v>879</v>
      </c>
      <c r="K91" s="188">
        <v>19.5</v>
      </c>
      <c r="L91" s="188" t="s">
        <v>40</v>
      </c>
      <c r="M91" s="188" t="s">
        <v>40</v>
      </c>
      <c r="N91" s="189">
        <v>8000</v>
      </c>
      <c r="O91" s="189">
        <v>12000</v>
      </c>
      <c r="P91" s="189">
        <v>16000</v>
      </c>
      <c r="Q91" s="189">
        <v>26000</v>
      </c>
      <c r="R91" s="189" t="s">
        <v>187</v>
      </c>
      <c r="S91" s="189" t="s">
        <v>40</v>
      </c>
      <c r="T91" s="189" t="s">
        <v>880</v>
      </c>
      <c r="U91" s="189" t="s">
        <v>881</v>
      </c>
      <c r="V91" s="108" t="s">
        <v>882</v>
      </c>
      <c r="W91" s="113" t="s">
        <v>883</v>
      </c>
      <c r="X91" s="113" t="s">
        <v>530</v>
      </c>
    </row>
    <row r="92" s="1" customFormat="1" ht="50" customHeight="1" spans="1:24">
      <c r="A92" s="195">
        <v>80</v>
      </c>
      <c r="B92" s="124"/>
      <c r="C92" s="205" t="str">
        <f>_xlfn.DISPIMG("ID_AD67692D60824374B3128ACC0AAAE321",1)</f>
        <v>=DISPIMG("ID_AD67692D60824374B3128ACC0AAAE321",1)</v>
      </c>
      <c r="D92" s="23" t="s">
        <v>884</v>
      </c>
      <c r="E92" s="183" t="s">
        <v>885</v>
      </c>
      <c r="F92" s="64">
        <v>61264522222</v>
      </c>
      <c r="G92" s="64" t="s">
        <v>886</v>
      </c>
      <c r="H92" s="64" t="s">
        <v>887</v>
      </c>
      <c r="I92" s="116" t="s">
        <v>888</v>
      </c>
      <c r="J92" s="116" t="s">
        <v>889</v>
      </c>
      <c r="K92" s="157">
        <v>40.4</v>
      </c>
      <c r="L92" s="157">
        <v>47</v>
      </c>
      <c r="M92" s="157">
        <v>0.9</v>
      </c>
      <c r="N92" s="184">
        <v>18000</v>
      </c>
      <c r="O92" s="184">
        <v>19000</v>
      </c>
      <c r="P92" s="184">
        <v>21000</v>
      </c>
      <c r="Q92" s="184">
        <v>31000</v>
      </c>
      <c r="R92" s="184" t="s">
        <v>187</v>
      </c>
      <c r="S92" s="184" t="s">
        <v>40</v>
      </c>
      <c r="T92" s="184" t="s">
        <v>890</v>
      </c>
      <c r="U92" s="184" t="s">
        <v>891</v>
      </c>
      <c r="V92" s="184" t="s">
        <v>892</v>
      </c>
      <c r="W92" s="64" t="s">
        <v>893</v>
      </c>
      <c r="X92" s="64" t="s">
        <v>45</v>
      </c>
    </row>
    <row r="93" s="1" customFormat="1" ht="50" customHeight="1" spans="1:24">
      <c r="A93" s="185">
        <v>81</v>
      </c>
      <c r="B93" s="66"/>
      <c r="C93" s="66" t="str">
        <f>_xlfn.DISPIMG("ID_620D9C3282B04B5FA66BA776BA516595",1)</f>
        <v>=DISPIMG("ID_620D9C3282B04B5FA66BA776BA516595",1)</v>
      </c>
      <c r="D93" s="66" t="s">
        <v>894</v>
      </c>
      <c r="E93" s="213" t="s">
        <v>895</v>
      </c>
      <c r="F93" s="113" t="s">
        <v>896</v>
      </c>
      <c r="G93" s="113" t="s">
        <v>823</v>
      </c>
      <c r="H93" s="113" t="s">
        <v>897</v>
      </c>
      <c r="I93" s="108" t="s">
        <v>898</v>
      </c>
      <c r="J93" s="297" t="s">
        <v>899</v>
      </c>
      <c r="K93" s="188">
        <v>5.8</v>
      </c>
      <c r="L93" s="188">
        <v>15.4</v>
      </c>
      <c r="M93" s="188">
        <v>0.3</v>
      </c>
      <c r="N93" s="189">
        <v>3000</v>
      </c>
      <c r="O93" s="189">
        <v>5000</v>
      </c>
      <c r="P93" s="189">
        <v>6000</v>
      </c>
      <c r="Q93" s="189" t="s">
        <v>40</v>
      </c>
      <c r="R93" s="189" t="s">
        <v>40</v>
      </c>
      <c r="S93" s="189" t="s">
        <v>40</v>
      </c>
      <c r="T93" s="189" t="s">
        <v>40</v>
      </c>
      <c r="U93" s="189" t="s">
        <v>40</v>
      </c>
      <c r="V93" s="108" t="s">
        <v>40</v>
      </c>
      <c r="W93" s="113" t="s">
        <v>40</v>
      </c>
      <c r="X93" s="113" t="s">
        <v>900</v>
      </c>
    </row>
    <row r="94" s="167" customFormat="1" ht="25" customHeight="1" spans="1:24">
      <c r="A94" s="234"/>
      <c r="B94" s="234"/>
      <c r="C94" s="234"/>
      <c r="D94" s="234"/>
      <c r="E94" s="234"/>
      <c r="F94" s="234"/>
      <c r="G94" s="234"/>
      <c r="H94" s="234"/>
      <c r="I94" s="235"/>
      <c r="J94" s="236" t="s">
        <v>901</v>
      </c>
      <c r="K94" s="234"/>
      <c r="L94" s="234"/>
      <c r="M94" s="234"/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4"/>
    </row>
    <row r="95" s="1" customFormat="1" ht="50" customHeight="1" spans="1:24">
      <c r="A95" s="185">
        <v>82</v>
      </c>
      <c r="B95" s="225"/>
      <c r="C95" s="194" t="str">
        <f>_xlfn.DISPIMG("ID_3F1759559AB940A6A95E542A6EDD73B0",1)</f>
        <v>=DISPIMG("ID_3F1759559AB940A6A95E542A6EDD73B0",1)</v>
      </c>
      <c r="D95" s="66" t="s">
        <v>902</v>
      </c>
      <c r="E95" s="213" t="s">
        <v>903</v>
      </c>
      <c r="F95" s="113" t="s">
        <v>904</v>
      </c>
      <c r="G95" s="113" t="s">
        <v>183</v>
      </c>
      <c r="H95" s="113" t="s">
        <v>905</v>
      </c>
      <c r="I95" s="108" t="s">
        <v>906</v>
      </c>
      <c r="J95" s="108" t="s">
        <v>907</v>
      </c>
      <c r="K95" s="188">
        <v>497.6</v>
      </c>
      <c r="L95" s="188">
        <v>250.1</v>
      </c>
      <c r="M95" s="188">
        <v>7</v>
      </c>
      <c r="N95" s="189">
        <v>50000</v>
      </c>
      <c r="O95" s="189">
        <v>68000</v>
      </c>
      <c r="P95" s="189">
        <v>80000</v>
      </c>
      <c r="Q95" s="189">
        <v>90000</v>
      </c>
      <c r="R95" s="189" t="s">
        <v>187</v>
      </c>
      <c r="S95" s="189">
        <v>68000</v>
      </c>
      <c r="T95" s="189" t="s">
        <v>908</v>
      </c>
      <c r="U95" s="189" t="s">
        <v>909</v>
      </c>
      <c r="V95" s="189" t="s">
        <v>910</v>
      </c>
      <c r="W95" s="113" t="s">
        <v>911</v>
      </c>
      <c r="X95" s="113" t="s">
        <v>45</v>
      </c>
    </row>
    <row r="96" s="1" customFormat="1" ht="50" customHeight="1" spans="1:24">
      <c r="A96" s="195">
        <v>83</v>
      </c>
      <c r="B96" s="124" t="s">
        <v>312</v>
      </c>
      <c r="C96" s="205" t="str">
        <f>_xlfn.DISPIMG("ID_0DCD5B3AA2464438B079367360238EC8",1)</f>
        <v>=DISPIMG("ID_0DCD5B3AA2464438B079367360238EC8",1)</v>
      </c>
      <c r="D96" s="23" t="s">
        <v>912</v>
      </c>
      <c r="E96" s="192" t="s">
        <v>913</v>
      </c>
      <c r="F96" s="64">
        <v>179766600</v>
      </c>
      <c r="G96" s="237" t="s">
        <v>171</v>
      </c>
      <c r="H96" s="64" t="s">
        <v>914</v>
      </c>
      <c r="I96" s="116" t="s">
        <v>915</v>
      </c>
      <c r="J96" s="116" t="s">
        <v>916</v>
      </c>
      <c r="K96" s="157">
        <v>294.4</v>
      </c>
      <c r="L96" s="157">
        <v>50.3</v>
      </c>
      <c r="M96" s="157">
        <v>3.6</v>
      </c>
      <c r="N96" s="184">
        <v>34000</v>
      </c>
      <c r="O96" s="184">
        <v>42000</v>
      </c>
      <c r="P96" s="184">
        <v>50000</v>
      </c>
      <c r="Q96" s="184">
        <v>60000</v>
      </c>
      <c r="R96" s="184" t="s">
        <v>187</v>
      </c>
      <c r="S96" s="184">
        <v>38000</v>
      </c>
      <c r="T96" s="184" t="s">
        <v>917</v>
      </c>
      <c r="U96" s="184" t="s">
        <v>918</v>
      </c>
      <c r="V96" s="116" t="s">
        <v>919</v>
      </c>
      <c r="W96" s="64" t="s">
        <v>920</v>
      </c>
      <c r="X96" s="64" t="s">
        <v>136</v>
      </c>
    </row>
    <row r="97" s="170" customFormat="1" ht="25" customHeight="1" spans="1:24">
      <c r="A97" s="238"/>
      <c r="B97" s="238"/>
      <c r="C97" s="238"/>
      <c r="D97" s="238"/>
      <c r="E97" s="238"/>
      <c r="F97" s="238"/>
      <c r="G97" s="238"/>
      <c r="H97" s="238"/>
      <c r="I97" s="239"/>
      <c r="J97" s="240" t="s">
        <v>921</v>
      </c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</row>
    <row r="98" s="3" customFormat="1" ht="50" customHeight="1" spans="1:24">
      <c r="A98" s="195">
        <v>84</v>
      </c>
      <c r="B98" s="124"/>
      <c r="C98" s="205" t="str">
        <f>_xlfn.DISPIMG("ID_6DDB3F0B8C864F73A8C54F8BBC2991AA",1)</f>
        <v>=DISPIMG("ID_6DDB3F0B8C864F73A8C54F8BBC2991AA",1)</v>
      </c>
      <c r="D98" s="23" t="s">
        <v>922</v>
      </c>
      <c r="E98" s="206" t="s">
        <v>923</v>
      </c>
      <c r="F98" s="13">
        <v>117893265</v>
      </c>
      <c r="G98" s="207" t="s">
        <v>924</v>
      </c>
      <c r="H98" s="13" t="s">
        <v>925</v>
      </c>
      <c r="I98" s="16" t="s">
        <v>926</v>
      </c>
      <c r="J98" s="16" t="s">
        <v>927</v>
      </c>
      <c r="K98" s="27">
        <v>553.3</v>
      </c>
      <c r="L98" s="27">
        <v>27.4</v>
      </c>
      <c r="M98" s="27">
        <v>2.3</v>
      </c>
      <c r="N98" s="18">
        <v>75000</v>
      </c>
      <c r="O98" s="18">
        <v>85000</v>
      </c>
      <c r="P98" s="18">
        <v>123500</v>
      </c>
      <c r="Q98" s="18">
        <v>125000</v>
      </c>
      <c r="R98" s="25" t="s">
        <v>187</v>
      </c>
      <c r="S98" s="18">
        <v>85000</v>
      </c>
      <c r="T98" s="25" t="s">
        <v>928</v>
      </c>
      <c r="U98" s="25" t="s">
        <v>929</v>
      </c>
      <c r="V98" s="16" t="s">
        <v>930</v>
      </c>
      <c r="W98" s="13" t="s">
        <v>931</v>
      </c>
      <c r="X98" s="13" t="s">
        <v>45</v>
      </c>
    </row>
    <row r="99" s="3" customFormat="1" ht="50" customHeight="1" spans="1:24">
      <c r="A99" s="208">
        <v>85</v>
      </c>
      <c r="B99" s="209" t="s">
        <v>518</v>
      </c>
      <c r="C99" s="211" t="str">
        <f>_xlfn.DISPIMG("ID_B04708EBD51D47E89C0F5A8CA1C42320",1)</f>
        <v>=DISPIMG("ID_B04708EBD51D47E89C0F5A8CA1C42320",1)</v>
      </c>
      <c r="D99" s="211" t="s">
        <v>932</v>
      </c>
      <c r="E99" s="186" t="s">
        <v>933</v>
      </c>
      <c r="F99" s="113" t="s">
        <v>934</v>
      </c>
      <c r="G99" s="187" t="s">
        <v>935</v>
      </c>
      <c r="H99" s="187" t="s">
        <v>936</v>
      </c>
      <c r="I99" s="187" t="s">
        <v>937</v>
      </c>
      <c r="J99" s="108" t="s">
        <v>938</v>
      </c>
      <c r="K99" s="188">
        <v>75.7</v>
      </c>
      <c r="L99" s="188">
        <v>46.1</v>
      </c>
      <c r="M99" s="188">
        <v>1.8</v>
      </c>
      <c r="N99" s="156">
        <v>15000</v>
      </c>
      <c r="O99" s="156">
        <v>25000</v>
      </c>
      <c r="P99" s="156">
        <v>29000</v>
      </c>
      <c r="Q99" s="156">
        <v>39000</v>
      </c>
      <c r="R99" s="189" t="s">
        <v>187</v>
      </c>
      <c r="S99" s="156" t="s">
        <v>40</v>
      </c>
      <c r="T99" s="189" t="s">
        <v>939</v>
      </c>
      <c r="U99" s="189" t="s">
        <v>940</v>
      </c>
      <c r="V99" s="108" t="s">
        <v>941</v>
      </c>
      <c r="W99" s="113" t="s">
        <v>942</v>
      </c>
      <c r="X99" s="113" t="s">
        <v>943</v>
      </c>
    </row>
    <row r="100" s="3" customFormat="1" ht="50" customHeight="1" spans="1:24">
      <c r="A100" s="195">
        <v>86</v>
      </c>
      <c r="B100" s="124"/>
      <c r="C100" s="205" t="str">
        <f>_xlfn.DISPIMG("ID_297283D20B12454EBBC647E91C93E809",1)</f>
        <v>=DISPIMG("ID_297283D20B12454EBBC647E91C93E809",1)</v>
      </c>
      <c r="D100" s="23" t="s">
        <v>944</v>
      </c>
      <c r="E100" s="206" t="s">
        <v>945</v>
      </c>
      <c r="F100" s="13" t="s">
        <v>946</v>
      </c>
      <c r="G100" s="207" t="s">
        <v>947</v>
      </c>
      <c r="H100" s="13" t="s">
        <v>948</v>
      </c>
      <c r="I100" s="16" t="s">
        <v>949</v>
      </c>
      <c r="J100" s="16" t="s">
        <v>950</v>
      </c>
      <c r="K100" s="27">
        <v>315.9</v>
      </c>
      <c r="L100" s="27">
        <v>412.1</v>
      </c>
      <c r="M100" s="27">
        <v>7.8</v>
      </c>
      <c r="N100" s="18">
        <v>20000</v>
      </c>
      <c r="O100" s="18">
        <v>35000</v>
      </c>
      <c r="P100" s="18">
        <v>50000</v>
      </c>
      <c r="Q100" s="18">
        <v>60000</v>
      </c>
      <c r="R100" s="25" t="s">
        <v>187</v>
      </c>
      <c r="S100" s="18">
        <v>35000</v>
      </c>
      <c r="T100" s="25" t="s">
        <v>951</v>
      </c>
      <c r="U100" s="25" t="s">
        <v>952</v>
      </c>
      <c r="V100" s="16" t="s">
        <v>953</v>
      </c>
      <c r="W100" s="13" t="s">
        <v>954</v>
      </c>
      <c r="X100" s="13" t="s">
        <v>45</v>
      </c>
    </row>
    <row r="101" s="3" customFormat="1" ht="50" customHeight="1" spans="1:24">
      <c r="A101" s="208">
        <v>87</v>
      </c>
      <c r="B101" s="209"/>
      <c r="C101" s="211" t="str">
        <f>_xlfn.DISPIMG("ID_612738D3F3D7428DA6E4E321C90CFF9C",1)</f>
        <v>=DISPIMG("ID_612738D3F3D7428DA6E4E321C90CFF9C",1)</v>
      </c>
      <c r="D101" s="211" t="s">
        <v>955</v>
      </c>
      <c r="E101" s="186" t="s">
        <v>956</v>
      </c>
      <c r="F101" s="113" t="s">
        <v>957</v>
      </c>
      <c r="G101" s="187" t="s">
        <v>117</v>
      </c>
      <c r="H101" s="187" t="s">
        <v>958</v>
      </c>
      <c r="I101" s="187" t="s">
        <v>959</v>
      </c>
      <c r="J101" s="108" t="s">
        <v>960</v>
      </c>
      <c r="K101" s="188">
        <v>187.5</v>
      </c>
      <c r="L101" s="188">
        <v>70.4</v>
      </c>
      <c r="M101" s="188">
        <v>2.3</v>
      </c>
      <c r="N101" s="156">
        <v>28000</v>
      </c>
      <c r="O101" s="156">
        <v>30000</v>
      </c>
      <c r="P101" s="156">
        <v>40000</v>
      </c>
      <c r="Q101" s="156">
        <v>50000</v>
      </c>
      <c r="R101" s="189" t="s">
        <v>187</v>
      </c>
      <c r="S101" s="156" t="s">
        <v>40</v>
      </c>
      <c r="T101" s="189" t="s">
        <v>961</v>
      </c>
      <c r="U101" s="189" t="s">
        <v>962</v>
      </c>
      <c r="V101" s="108" t="s">
        <v>963</v>
      </c>
      <c r="W101" s="113" t="s">
        <v>964</v>
      </c>
      <c r="X101" s="113" t="s">
        <v>45</v>
      </c>
    </row>
    <row r="102" s="3" customFormat="1" ht="50" customHeight="1" spans="1:24">
      <c r="A102" s="195">
        <v>88</v>
      </c>
      <c r="B102" s="124"/>
      <c r="C102" s="205" t="str">
        <f>_xlfn.DISPIMG("ID_3E180515AB144A13AC6A0CFDD9779ECC",1)</f>
        <v>=DISPIMG("ID_3E180515AB144A13AC6A0CFDD9779ECC",1)</v>
      </c>
      <c r="D102" s="23" t="s">
        <v>965</v>
      </c>
      <c r="E102" s="206" t="s">
        <v>966</v>
      </c>
      <c r="F102" s="13">
        <v>202452578</v>
      </c>
      <c r="G102" s="207" t="s">
        <v>117</v>
      </c>
      <c r="H102" s="13" t="s">
        <v>967</v>
      </c>
      <c r="I102" s="16" t="s">
        <v>968</v>
      </c>
      <c r="J102" s="299" t="s">
        <v>969</v>
      </c>
      <c r="K102" s="27">
        <v>103.6</v>
      </c>
      <c r="L102" s="27">
        <v>207.4</v>
      </c>
      <c r="M102" s="27">
        <v>8.9</v>
      </c>
      <c r="N102" s="18">
        <v>30000</v>
      </c>
      <c r="O102" s="18">
        <v>40000</v>
      </c>
      <c r="P102" s="18">
        <v>50000</v>
      </c>
      <c r="Q102" s="18" t="s">
        <v>40</v>
      </c>
      <c r="R102" s="25" t="s">
        <v>970</v>
      </c>
      <c r="S102" s="18" t="s">
        <v>40</v>
      </c>
      <c r="T102" s="25" t="s">
        <v>971</v>
      </c>
      <c r="U102" s="25" t="s">
        <v>972</v>
      </c>
      <c r="V102" s="16" t="s">
        <v>973</v>
      </c>
      <c r="W102" s="13" t="s">
        <v>974</v>
      </c>
      <c r="X102" s="13" t="s">
        <v>573</v>
      </c>
    </row>
    <row r="103" s="3" customFormat="1" ht="50" customHeight="1" spans="1:24">
      <c r="A103" s="208">
        <v>89</v>
      </c>
      <c r="B103" s="209" t="s">
        <v>125</v>
      </c>
      <c r="C103" s="211" t="str">
        <f>_xlfn.DISPIMG("ID_DB104517492341D4A6C5AADD6201F2CC",1)</f>
        <v>=DISPIMG("ID_DB104517492341D4A6C5AADD6201F2CC",1)</v>
      </c>
      <c r="D103" s="211" t="s">
        <v>975</v>
      </c>
      <c r="E103" s="186" t="s">
        <v>976</v>
      </c>
      <c r="F103" s="113" t="s">
        <v>977</v>
      </c>
      <c r="G103" s="187" t="s">
        <v>978</v>
      </c>
      <c r="H103" s="187" t="s">
        <v>979</v>
      </c>
      <c r="I103" s="108" t="s">
        <v>980</v>
      </c>
      <c r="J103" s="297" t="s">
        <v>981</v>
      </c>
      <c r="K103" s="188">
        <v>3</v>
      </c>
      <c r="L103" s="188" t="s">
        <v>40</v>
      </c>
      <c r="M103" s="188" t="s">
        <v>40</v>
      </c>
      <c r="N103" s="156" t="s">
        <v>40</v>
      </c>
      <c r="O103" s="156">
        <v>5000</v>
      </c>
      <c r="P103" s="156">
        <v>5000</v>
      </c>
      <c r="Q103" s="156" t="s">
        <v>40</v>
      </c>
      <c r="R103" s="189" t="s">
        <v>40</v>
      </c>
      <c r="S103" s="156" t="s">
        <v>40</v>
      </c>
      <c r="T103" s="189" t="s">
        <v>40</v>
      </c>
      <c r="U103" s="189" t="s">
        <v>40</v>
      </c>
      <c r="V103" s="108" t="s">
        <v>40</v>
      </c>
      <c r="W103" s="113" t="s">
        <v>40</v>
      </c>
      <c r="X103" s="113" t="s">
        <v>45</v>
      </c>
    </row>
    <row r="104" s="3" customFormat="1" ht="50" customHeight="1" spans="1:24">
      <c r="A104" s="195">
        <v>90</v>
      </c>
      <c r="B104" s="124"/>
      <c r="C104" s="205" t="str">
        <f>_xlfn.DISPIMG("ID_3590528A77D7476FB7E6DFF756D262DE",1)</f>
        <v>=DISPIMG("ID_3590528A77D7476FB7E6DFF756D262DE",1)</v>
      </c>
      <c r="D104" s="23" t="s">
        <v>982</v>
      </c>
      <c r="E104" s="206" t="s">
        <v>983</v>
      </c>
      <c r="F104" s="13">
        <v>83826297424</v>
      </c>
      <c r="G104" s="207" t="s">
        <v>984</v>
      </c>
      <c r="H104" s="13" t="s">
        <v>985</v>
      </c>
      <c r="I104" s="16" t="s">
        <v>986</v>
      </c>
      <c r="J104" s="299" t="s">
        <v>987</v>
      </c>
      <c r="K104" s="27">
        <v>59.2</v>
      </c>
      <c r="L104" s="27">
        <v>14</v>
      </c>
      <c r="M104" s="27">
        <v>0.2</v>
      </c>
      <c r="N104" s="18">
        <v>16000</v>
      </c>
      <c r="O104" s="18">
        <v>18000</v>
      </c>
      <c r="P104" s="18">
        <v>20000</v>
      </c>
      <c r="Q104" s="18" t="s">
        <v>40</v>
      </c>
      <c r="R104" s="25" t="s">
        <v>175</v>
      </c>
      <c r="S104" s="18" t="s">
        <v>40</v>
      </c>
      <c r="T104" s="25" t="s">
        <v>988</v>
      </c>
      <c r="U104" s="25" t="s">
        <v>989</v>
      </c>
      <c r="V104" s="16" t="s">
        <v>990</v>
      </c>
      <c r="W104" s="13" t="s">
        <v>991</v>
      </c>
      <c r="X104" s="13" t="s">
        <v>573</v>
      </c>
    </row>
    <row r="105" s="3" customFormat="1" ht="50" customHeight="1" spans="1:24">
      <c r="A105" s="208">
        <v>91</v>
      </c>
      <c r="B105" s="209"/>
      <c r="C105" s="211" t="str">
        <f>_xlfn.DISPIMG("ID_830D7BF9822C4C5DA11066C440555B66",1)</f>
        <v>=DISPIMG("ID_830D7BF9822C4C5DA11066C440555B66",1)</v>
      </c>
      <c r="D105" s="211" t="s">
        <v>992</v>
      </c>
      <c r="E105" s="186" t="s">
        <v>993</v>
      </c>
      <c r="F105" s="113" t="s">
        <v>994</v>
      </c>
      <c r="G105" s="187" t="s">
        <v>995</v>
      </c>
      <c r="H105" s="187" t="s">
        <v>996</v>
      </c>
      <c r="I105" s="108" t="s">
        <v>997</v>
      </c>
      <c r="J105" s="108" t="s">
        <v>998</v>
      </c>
      <c r="K105" s="188">
        <v>51.7</v>
      </c>
      <c r="L105" s="188">
        <v>67.6</v>
      </c>
      <c r="M105" s="188">
        <v>3.4</v>
      </c>
      <c r="N105" s="156">
        <v>12000</v>
      </c>
      <c r="O105" s="156">
        <v>13000</v>
      </c>
      <c r="P105" s="156">
        <v>18000</v>
      </c>
      <c r="Q105" s="156">
        <v>28000</v>
      </c>
      <c r="R105" s="189" t="s">
        <v>187</v>
      </c>
      <c r="S105" s="156">
        <v>13000</v>
      </c>
      <c r="T105" s="189" t="s">
        <v>999</v>
      </c>
      <c r="U105" s="189" t="s">
        <v>1000</v>
      </c>
      <c r="V105" s="108" t="s">
        <v>1001</v>
      </c>
      <c r="W105" s="113" t="s">
        <v>1002</v>
      </c>
      <c r="X105" s="113" t="s">
        <v>45</v>
      </c>
    </row>
    <row r="106" s="3" customFormat="1" ht="50" customHeight="1" spans="1:24">
      <c r="A106" s="195">
        <v>92</v>
      </c>
      <c r="B106" s="124"/>
      <c r="C106" s="205" t="str">
        <f>_xlfn.DISPIMG("ID_7B85263DD4C34EB09E8EAAB6FD778BC0",1)</f>
        <v>=DISPIMG("ID_7B85263DD4C34EB09E8EAAB6FD778BC0",1)</v>
      </c>
      <c r="D106" s="23" t="s">
        <v>1003</v>
      </c>
      <c r="E106" s="206" t="s">
        <v>1004</v>
      </c>
      <c r="F106" s="13" t="s">
        <v>1005</v>
      </c>
      <c r="G106" s="207" t="s">
        <v>1006</v>
      </c>
      <c r="H106" s="13" t="s">
        <v>1007</v>
      </c>
      <c r="I106" s="16" t="s">
        <v>1008</v>
      </c>
      <c r="J106" s="16" t="s">
        <v>1009</v>
      </c>
      <c r="K106" s="27">
        <v>39.8</v>
      </c>
      <c r="L106" s="27">
        <v>713.1</v>
      </c>
      <c r="M106" s="27">
        <v>15.7</v>
      </c>
      <c r="N106" s="18">
        <v>22000</v>
      </c>
      <c r="O106" s="18">
        <v>25000</v>
      </c>
      <c r="P106" s="18">
        <v>28000</v>
      </c>
      <c r="Q106" s="18">
        <v>38000</v>
      </c>
      <c r="R106" s="25" t="s">
        <v>187</v>
      </c>
      <c r="S106" s="18" t="s">
        <v>40</v>
      </c>
      <c r="T106" s="25" t="s">
        <v>1010</v>
      </c>
      <c r="U106" s="25" t="s">
        <v>1011</v>
      </c>
      <c r="V106" s="16" t="s">
        <v>1012</v>
      </c>
      <c r="W106" s="13" t="s">
        <v>1013</v>
      </c>
      <c r="X106" s="13" t="s">
        <v>45</v>
      </c>
    </row>
    <row r="107" s="3" customFormat="1" ht="50" customHeight="1" spans="1:24">
      <c r="A107" s="208">
        <v>93</v>
      </c>
      <c r="B107" s="209"/>
      <c r="C107" s="211" t="str">
        <f>_xlfn.DISPIMG("ID_1854D7164B524CD2A6F27AFCD5B8ADB0",1)</f>
        <v>=DISPIMG("ID_1854D7164B524CD2A6F27AFCD5B8ADB0",1)</v>
      </c>
      <c r="D107" s="211" t="s">
        <v>1014</v>
      </c>
      <c r="E107" s="186" t="s">
        <v>1015</v>
      </c>
      <c r="F107" s="113">
        <v>1580309688</v>
      </c>
      <c r="G107" s="187" t="s">
        <v>1016</v>
      </c>
      <c r="H107" s="187" t="s">
        <v>1017</v>
      </c>
      <c r="I107" s="108" t="s">
        <v>1018</v>
      </c>
      <c r="J107" s="108" t="s">
        <v>1019</v>
      </c>
      <c r="K107" s="188">
        <v>32.4</v>
      </c>
      <c r="L107" s="188">
        <v>744.8</v>
      </c>
      <c r="M107" s="188">
        <v>10.8</v>
      </c>
      <c r="N107" s="156">
        <v>15000</v>
      </c>
      <c r="O107" s="156">
        <v>18000</v>
      </c>
      <c r="P107" s="156">
        <v>20000</v>
      </c>
      <c r="Q107" s="156">
        <v>30000</v>
      </c>
      <c r="R107" s="189" t="s">
        <v>187</v>
      </c>
      <c r="S107" s="156" t="s">
        <v>40</v>
      </c>
      <c r="T107" s="189" t="s">
        <v>1020</v>
      </c>
      <c r="U107" s="189" t="s">
        <v>1021</v>
      </c>
      <c r="V107" s="108" t="s">
        <v>1022</v>
      </c>
      <c r="W107" s="113" t="s">
        <v>1023</v>
      </c>
      <c r="X107" s="113" t="s">
        <v>562</v>
      </c>
    </row>
    <row r="108" s="167" customFormat="1" ht="25" customHeight="1" spans="1:24">
      <c r="A108" s="241"/>
      <c r="B108" s="241"/>
      <c r="C108" s="241"/>
      <c r="D108" s="241"/>
      <c r="E108" s="241"/>
      <c r="F108" s="241"/>
      <c r="G108" s="241"/>
      <c r="H108" s="241"/>
      <c r="I108" s="242"/>
      <c r="J108" s="243" t="s">
        <v>1024</v>
      </c>
      <c r="K108" s="241"/>
      <c r="L108" s="241"/>
      <c r="M108" s="241"/>
      <c r="N108" s="241"/>
      <c r="O108" s="241"/>
      <c r="P108" s="241"/>
      <c r="Q108" s="241"/>
      <c r="R108" s="241"/>
      <c r="S108" s="241"/>
      <c r="T108" s="241"/>
      <c r="U108" s="241"/>
      <c r="V108" s="241"/>
      <c r="W108" s="244"/>
      <c r="X108" s="244"/>
    </row>
    <row r="109" s="168" customFormat="1" ht="50" customHeight="1" spans="1:24">
      <c r="A109" s="195">
        <v>94</v>
      </c>
      <c r="B109" s="124"/>
      <c r="C109" s="23" t="str">
        <f>_xlfn.DISPIMG("ID_FEA892292C9F41DC88FCF6A565C5188F",1)</f>
        <v>=DISPIMG("ID_FEA892292C9F41DC88FCF6A565C5188F",1)</v>
      </c>
      <c r="D109" s="23" t="s">
        <v>1025</v>
      </c>
      <c r="E109" s="214" t="s">
        <v>1026</v>
      </c>
      <c r="F109" s="13" t="s">
        <v>1027</v>
      </c>
      <c r="G109" s="16" t="s">
        <v>1028</v>
      </c>
      <c r="H109" s="13" t="s">
        <v>1029</v>
      </c>
      <c r="I109" s="16" t="s">
        <v>1030</v>
      </c>
      <c r="J109" s="16" t="s">
        <v>1031</v>
      </c>
      <c r="K109" s="27">
        <v>256.9</v>
      </c>
      <c r="L109" s="27" t="s">
        <v>40</v>
      </c>
      <c r="M109" s="27" t="s">
        <v>40</v>
      </c>
      <c r="N109" s="25">
        <v>26000</v>
      </c>
      <c r="O109" s="25">
        <v>31000</v>
      </c>
      <c r="P109" s="25">
        <v>40000</v>
      </c>
      <c r="Q109" s="25" t="s">
        <v>40</v>
      </c>
      <c r="R109" s="25" t="s">
        <v>187</v>
      </c>
      <c r="S109" s="25">
        <v>29000</v>
      </c>
      <c r="T109" s="25" t="s">
        <v>1032</v>
      </c>
      <c r="U109" s="25" t="s">
        <v>1033</v>
      </c>
      <c r="V109" s="16" t="s">
        <v>1034</v>
      </c>
      <c r="W109" s="13" t="s">
        <v>1035</v>
      </c>
      <c r="X109" s="13" t="s">
        <v>45</v>
      </c>
    </row>
    <row r="110" s="3" customFormat="1" ht="50" customHeight="1" spans="1:24">
      <c r="A110" s="208">
        <v>95</v>
      </c>
      <c r="B110" s="209" t="s">
        <v>125</v>
      </c>
      <c r="C110" s="211" t="str">
        <f>_xlfn.DISPIMG("ID_9F4621F6D66A46568A4D563A930517A3",1)</f>
        <v>=DISPIMG("ID_9F4621F6D66A46568A4D563A930517A3",1)</v>
      </c>
      <c r="D110" s="211" t="s">
        <v>1036</v>
      </c>
      <c r="E110" s="186" t="s">
        <v>1037</v>
      </c>
      <c r="F110" s="113" t="s">
        <v>1038</v>
      </c>
      <c r="G110" s="187" t="s">
        <v>1039</v>
      </c>
      <c r="H110" s="187" t="s">
        <v>1040</v>
      </c>
      <c r="I110" s="187" t="s">
        <v>1041</v>
      </c>
      <c r="J110" s="297" t="s">
        <v>1042</v>
      </c>
      <c r="K110" s="188">
        <v>25.2</v>
      </c>
      <c r="L110" s="188" t="s">
        <v>40</v>
      </c>
      <c r="M110" s="188" t="s">
        <v>40</v>
      </c>
      <c r="N110" s="156">
        <v>20000</v>
      </c>
      <c r="O110" s="156">
        <v>20000</v>
      </c>
      <c r="P110" s="156">
        <v>30000</v>
      </c>
      <c r="Q110" s="156" t="s">
        <v>40</v>
      </c>
      <c r="R110" s="189" t="s">
        <v>40</v>
      </c>
      <c r="S110" s="156" t="s">
        <v>40</v>
      </c>
      <c r="T110" s="189" t="s">
        <v>40</v>
      </c>
      <c r="U110" s="189" t="s">
        <v>40</v>
      </c>
      <c r="V110" s="108" t="s">
        <v>40</v>
      </c>
      <c r="W110" s="113" t="s">
        <v>40</v>
      </c>
      <c r="X110" s="113" t="s">
        <v>136</v>
      </c>
    </row>
    <row r="111" s="167" customFormat="1" ht="25" customHeight="1" spans="1:24">
      <c r="A111" s="241"/>
      <c r="B111" s="241"/>
      <c r="C111" s="241"/>
      <c r="D111" s="241"/>
      <c r="E111" s="241"/>
      <c r="F111" s="241"/>
      <c r="G111" s="241"/>
      <c r="H111" s="241"/>
      <c r="I111" s="242"/>
      <c r="J111" s="243" t="s">
        <v>1043</v>
      </c>
      <c r="K111" s="241"/>
      <c r="L111" s="241"/>
      <c r="M111" s="241"/>
      <c r="N111" s="241"/>
      <c r="O111" s="241"/>
      <c r="P111" s="241"/>
      <c r="Q111" s="241"/>
      <c r="R111" s="241"/>
      <c r="S111" s="241"/>
      <c r="T111" s="241"/>
      <c r="U111" s="241"/>
      <c r="V111" s="241"/>
      <c r="W111" s="244"/>
      <c r="X111" s="244"/>
    </row>
    <row r="112" s="3" customFormat="1" ht="50" customHeight="1" spans="1:24">
      <c r="A112" s="185">
        <v>96</v>
      </c>
      <c r="B112" s="225"/>
      <c r="C112" s="194" t="str">
        <f>_xlfn.DISPIMG("ID_35BFC68506EF43D0A564EDF289FF4152",1)</f>
        <v>=DISPIMG("ID_35BFC68506EF43D0A564EDF289FF4152",1)</v>
      </c>
      <c r="D112" s="66" t="s">
        <v>1044</v>
      </c>
      <c r="E112" s="186" t="s">
        <v>1045</v>
      </c>
      <c r="F112" s="113">
        <v>76006290733</v>
      </c>
      <c r="G112" s="187" t="s">
        <v>1046</v>
      </c>
      <c r="H112" s="113" t="s">
        <v>1047</v>
      </c>
      <c r="I112" s="108" t="s">
        <v>1048</v>
      </c>
      <c r="J112" s="297" t="s">
        <v>1049</v>
      </c>
      <c r="K112" s="188">
        <v>59.8</v>
      </c>
      <c r="L112" s="188">
        <v>222.5</v>
      </c>
      <c r="M112" s="188">
        <v>4.5</v>
      </c>
      <c r="N112" s="156">
        <v>18000</v>
      </c>
      <c r="O112" s="156">
        <v>20000</v>
      </c>
      <c r="P112" s="156">
        <v>22000</v>
      </c>
      <c r="Q112" s="156" t="s">
        <v>40</v>
      </c>
      <c r="R112" s="189" t="s">
        <v>175</v>
      </c>
      <c r="S112" s="156" t="s">
        <v>40</v>
      </c>
      <c r="T112" s="189" t="s">
        <v>1050</v>
      </c>
      <c r="U112" s="189" t="s">
        <v>1051</v>
      </c>
      <c r="V112" s="108" t="s">
        <v>1052</v>
      </c>
      <c r="W112" s="113" t="s">
        <v>40</v>
      </c>
      <c r="X112" s="113" t="s">
        <v>1053</v>
      </c>
    </row>
    <row r="113" s="167" customFormat="1" ht="25" customHeight="1" spans="1:24">
      <c r="A113" s="245"/>
      <c r="B113" s="245"/>
      <c r="C113" s="245"/>
      <c r="D113" s="245"/>
      <c r="E113" s="245"/>
      <c r="F113" s="245"/>
      <c r="G113" s="245"/>
      <c r="H113" s="245"/>
      <c r="I113" s="246"/>
      <c r="J113" s="247" t="s">
        <v>1054</v>
      </c>
      <c r="K113" s="245"/>
      <c r="L113" s="245"/>
      <c r="M113" s="245"/>
      <c r="N113" s="245"/>
      <c r="O113" s="245"/>
      <c r="P113" s="245"/>
      <c r="Q113" s="245"/>
      <c r="R113" s="245"/>
      <c r="S113" s="245"/>
      <c r="T113" s="245"/>
      <c r="U113" s="245"/>
      <c r="V113" s="245"/>
      <c r="W113" s="248"/>
      <c r="X113" s="248"/>
    </row>
    <row r="114" s="3" customFormat="1" ht="50" customHeight="1" spans="1:24">
      <c r="A114" s="185">
        <v>97</v>
      </c>
      <c r="B114" s="225"/>
      <c r="C114" s="194" t="str">
        <f>_xlfn.DISPIMG("ID_AB48B69CFF0E4D1489CF29B96309937F",1)</f>
        <v>=DISPIMG("ID_AB48B69CFF0E4D1489CF29B96309937F",1)</v>
      </c>
      <c r="D114" s="66" t="s">
        <v>1055</v>
      </c>
      <c r="E114" s="186" t="s">
        <v>1056</v>
      </c>
      <c r="F114" s="113" t="s">
        <v>1057</v>
      </c>
      <c r="G114" s="187" t="s">
        <v>1058</v>
      </c>
      <c r="H114" s="113" t="s">
        <v>1059</v>
      </c>
      <c r="I114" s="108" t="s">
        <v>1060</v>
      </c>
      <c r="J114" s="108" t="s">
        <v>1061</v>
      </c>
      <c r="K114" s="188">
        <v>303.9</v>
      </c>
      <c r="L114" s="188">
        <v>128.6</v>
      </c>
      <c r="M114" s="188">
        <v>4.5</v>
      </c>
      <c r="N114" s="156">
        <v>42000</v>
      </c>
      <c r="O114" s="156">
        <v>48000</v>
      </c>
      <c r="P114" s="156">
        <v>58000</v>
      </c>
      <c r="Q114" s="156">
        <v>65000</v>
      </c>
      <c r="R114" s="189" t="s">
        <v>187</v>
      </c>
      <c r="S114" s="156">
        <v>48000</v>
      </c>
      <c r="T114" s="189" t="s">
        <v>1062</v>
      </c>
      <c r="U114" s="189" t="s">
        <v>1063</v>
      </c>
      <c r="V114" s="108" t="s">
        <v>1064</v>
      </c>
      <c r="W114" s="113" t="s">
        <v>1065</v>
      </c>
      <c r="X114" s="113" t="s">
        <v>45</v>
      </c>
    </row>
    <row r="115" s="1" customFormat="1" ht="50" customHeight="1" spans="1:24">
      <c r="A115" s="195">
        <v>98</v>
      </c>
      <c r="B115" s="249"/>
      <c r="C115" s="22" t="str">
        <f>_xlfn.DISPIMG("ID_CACEF98067B14CC18678F828EB22CA1B",1)</f>
        <v>=DISPIMG("ID_CACEF98067B14CC18678F828EB22CA1B",1)</v>
      </c>
      <c r="D115" s="23" t="s">
        <v>1066</v>
      </c>
      <c r="E115" s="206" t="s">
        <v>1067</v>
      </c>
      <c r="F115" s="13" t="s">
        <v>1068</v>
      </c>
      <c r="G115" s="13" t="s">
        <v>1069</v>
      </c>
      <c r="H115" s="13" t="s">
        <v>1070</v>
      </c>
      <c r="I115" s="16" t="s">
        <v>1071</v>
      </c>
      <c r="J115" s="299" t="s">
        <v>1072</v>
      </c>
      <c r="K115" s="27">
        <v>108.1</v>
      </c>
      <c r="L115" s="27">
        <v>27.5</v>
      </c>
      <c r="M115" s="27">
        <v>0.9</v>
      </c>
      <c r="N115" s="25">
        <v>8000</v>
      </c>
      <c r="O115" s="25">
        <v>10000</v>
      </c>
      <c r="P115" s="25">
        <v>13000</v>
      </c>
      <c r="Q115" s="25" t="s">
        <v>40</v>
      </c>
      <c r="R115" s="25" t="s">
        <v>525</v>
      </c>
      <c r="S115" s="25" t="s">
        <v>40</v>
      </c>
      <c r="T115" s="25" t="s">
        <v>1073</v>
      </c>
      <c r="U115" s="25" t="s">
        <v>1074</v>
      </c>
      <c r="V115" s="16" t="s">
        <v>1075</v>
      </c>
      <c r="W115" s="13" t="s">
        <v>1076</v>
      </c>
      <c r="X115" s="13" t="s">
        <v>45</v>
      </c>
    </row>
    <row r="116" s="3" customFormat="1" ht="50" customHeight="1" spans="1:24">
      <c r="A116" s="185">
        <v>99</v>
      </c>
      <c r="B116" s="225"/>
      <c r="C116" s="194" t="str">
        <f>_xlfn.DISPIMG("ID_D8999301ECE74ADC88F016B6B888ED40",1)</f>
        <v>=DISPIMG("ID_D8999301ECE74ADC88F016B6B888ED40",1)</v>
      </c>
      <c r="D116" s="66" t="s">
        <v>1077</v>
      </c>
      <c r="E116" s="186" t="s">
        <v>1078</v>
      </c>
      <c r="F116" s="113" t="s">
        <v>1079</v>
      </c>
      <c r="G116" s="187" t="s">
        <v>1069</v>
      </c>
      <c r="H116" s="113" t="s">
        <v>1080</v>
      </c>
      <c r="I116" s="108" t="s">
        <v>1081</v>
      </c>
      <c r="J116" s="108" t="s">
        <v>1082</v>
      </c>
      <c r="K116" s="188">
        <v>205</v>
      </c>
      <c r="L116" s="188">
        <v>79.6</v>
      </c>
      <c r="M116" s="188">
        <v>1.5</v>
      </c>
      <c r="N116" s="156">
        <v>15000</v>
      </c>
      <c r="O116" s="156">
        <v>20000</v>
      </c>
      <c r="P116" s="156">
        <v>26000</v>
      </c>
      <c r="Q116" s="156">
        <v>36000</v>
      </c>
      <c r="R116" s="189" t="s">
        <v>145</v>
      </c>
      <c r="S116" s="156" t="s">
        <v>40</v>
      </c>
      <c r="T116" s="189" t="s">
        <v>1083</v>
      </c>
      <c r="U116" s="189" t="s">
        <v>1084</v>
      </c>
      <c r="V116" s="108" t="s">
        <v>1085</v>
      </c>
      <c r="W116" s="113" t="s">
        <v>1086</v>
      </c>
      <c r="X116" s="113" t="s">
        <v>1087</v>
      </c>
    </row>
    <row r="117" s="3" customFormat="1" ht="50" customHeight="1" spans="1:24">
      <c r="A117" s="195">
        <v>100</v>
      </c>
      <c r="B117" s="249"/>
      <c r="C117" s="205" t="str">
        <f>_xlfn.DISPIMG("ID_BFD3B791873840F7A6BD274172DDF735",1)</f>
        <v>=DISPIMG("ID_BFD3B791873840F7A6BD274172DDF735",1)</v>
      </c>
      <c r="D117" s="23" t="s">
        <v>1088</v>
      </c>
      <c r="E117" s="183" t="s">
        <v>1089</v>
      </c>
      <c r="F117" s="64" t="s">
        <v>1090</v>
      </c>
      <c r="G117" s="64" t="s">
        <v>1091</v>
      </c>
      <c r="H117" s="64" t="s">
        <v>1092</v>
      </c>
      <c r="I117" s="116" t="s">
        <v>1093</v>
      </c>
      <c r="J117" s="116" t="s">
        <v>1094</v>
      </c>
      <c r="K117" s="157">
        <v>127.8</v>
      </c>
      <c r="L117" s="157">
        <v>68.2</v>
      </c>
      <c r="M117" s="157">
        <v>5.4</v>
      </c>
      <c r="N117" s="184">
        <v>10000</v>
      </c>
      <c r="O117" s="184">
        <v>15000</v>
      </c>
      <c r="P117" s="184">
        <v>25000</v>
      </c>
      <c r="Q117" s="184">
        <v>35000</v>
      </c>
      <c r="R117" s="25" t="s">
        <v>187</v>
      </c>
      <c r="S117" s="184" t="s">
        <v>40</v>
      </c>
      <c r="T117" s="184" t="s">
        <v>1095</v>
      </c>
      <c r="U117" s="184" t="s">
        <v>1096</v>
      </c>
      <c r="V117" s="116" t="s">
        <v>1097</v>
      </c>
      <c r="W117" s="64" t="s">
        <v>1098</v>
      </c>
      <c r="X117" s="64" t="s">
        <v>45</v>
      </c>
    </row>
    <row r="118" s="3" customFormat="1" ht="50" customHeight="1" spans="1:24">
      <c r="A118" s="185">
        <v>101</v>
      </c>
      <c r="B118" s="225"/>
      <c r="C118" s="194" t="str">
        <f>_xlfn.DISPIMG("ID_3E277AB27A7E4DD7B9D5CFDBC903509B",1)</f>
        <v>=DISPIMG("ID_3E277AB27A7E4DD7B9D5CFDBC903509B",1)</v>
      </c>
      <c r="D118" s="66" t="s">
        <v>1099</v>
      </c>
      <c r="E118" s="186" t="s">
        <v>1100</v>
      </c>
      <c r="F118" s="113" t="s">
        <v>1101</v>
      </c>
      <c r="G118" s="187" t="s">
        <v>1069</v>
      </c>
      <c r="H118" s="113" t="s">
        <v>1102</v>
      </c>
      <c r="I118" s="108" t="s">
        <v>1103</v>
      </c>
      <c r="J118" s="108" t="s">
        <v>1104</v>
      </c>
      <c r="K118" s="188">
        <v>211.6</v>
      </c>
      <c r="L118" s="188">
        <v>50.7</v>
      </c>
      <c r="M118" s="188">
        <v>1.9</v>
      </c>
      <c r="N118" s="156">
        <v>20000</v>
      </c>
      <c r="O118" s="156">
        <v>28000</v>
      </c>
      <c r="P118" s="156">
        <v>32000</v>
      </c>
      <c r="Q118" s="156">
        <v>42000</v>
      </c>
      <c r="R118" s="189" t="s">
        <v>187</v>
      </c>
      <c r="S118" s="156" t="s">
        <v>40</v>
      </c>
      <c r="T118" s="189" t="s">
        <v>1105</v>
      </c>
      <c r="U118" s="189" t="s">
        <v>1106</v>
      </c>
      <c r="V118" s="108" t="s">
        <v>1107</v>
      </c>
      <c r="W118" s="113" t="s">
        <v>1108</v>
      </c>
      <c r="X118" s="113" t="s">
        <v>45</v>
      </c>
    </row>
    <row r="119" s="3" customFormat="1" ht="50" customHeight="1" spans="1:24">
      <c r="A119" s="180">
        <v>102</v>
      </c>
      <c r="B119" s="231"/>
      <c r="C119" t="str">
        <f>_xlfn.DISPIMG("ID_6B6583973CE844BDB3AB41AFA4B1C82E",1)</f>
        <v>=DISPIMG("ID_6B6583973CE844BDB3AB41AFA4B1C82E",1)</v>
      </c>
      <c r="D119" s="61" t="s">
        <v>1109</v>
      </c>
      <c r="E119" s="183" t="s">
        <v>1110</v>
      </c>
      <c r="F119" s="64">
        <v>32909938645</v>
      </c>
      <c r="G119" s="64" t="s">
        <v>1091</v>
      </c>
      <c r="H119" s="64" t="s">
        <v>1111</v>
      </c>
      <c r="I119" s="116" t="s">
        <v>1112</v>
      </c>
      <c r="J119" s="116" t="s">
        <v>1113</v>
      </c>
      <c r="K119" s="157">
        <v>108.7</v>
      </c>
      <c r="L119" s="157">
        <v>274.8</v>
      </c>
      <c r="M119" s="157">
        <v>9.6</v>
      </c>
      <c r="N119" s="184">
        <v>12000</v>
      </c>
      <c r="O119" s="184">
        <v>18000</v>
      </c>
      <c r="P119" s="184">
        <v>26000</v>
      </c>
      <c r="Q119" s="184">
        <v>36000</v>
      </c>
      <c r="R119" s="184" t="s">
        <v>187</v>
      </c>
      <c r="S119" s="184" t="s">
        <v>40</v>
      </c>
      <c r="T119" s="184" t="s">
        <v>1114</v>
      </c>
      <c r="U119" s="184" t="s">
        <v>1115</v>
      </c>
      <c r="V119" s="116" t="s">
        <v>1116</v>
      </c>
      <c r="W119" s="64" t="s">
        <v>1117</v>
      </c>
      <c r="X119" s="64" t="s">
        <v>45</v>
      </c>
    </row>
    <row r="120" s="3" customFormat="1" ht="50" customHeight="1" spans="1:24">
      <c r="A120" s="185">
        <v>103</v>
      </c>
      <c r="B120" s="225"/>
      <c r="C120" s="194" t="str">
        <f>_xlfn.DISPIMG("ID_1E3496E9C6C14248A4AB0CED55EB7B22",1)</f>
        <v>=DISPIMG("ID_1E3496E9C6C14248A4AB0CED55EB7B22",1)</v>
      </c>
      <c r="D120" s="66" t="s">
        <v>1118</v>
      </c>
      <c r="E120" s="186" t="s">
        <v>1119</v>
      </c>
      <c r="F120" s="113" t="s">
        <v>1120</v>
      </c>
      <c r="G120" s="187" t="s">
        <v>1091</v>
      </c>
      <c r="H120" s="113" t="s">
        <v>1121</v>
      </c>
      <c r="I120" s="108" t="s">
        <v>1122</v>
      </c>
      <c r="J120" s="108" t="s">
        <v>1123</v>
      </c>
      <c r="K120" s="188">
        <v>29.5</v>
      </c>
      <c r="L120" s="188">
        <v>95.4</v>
      </c>
      <c r="M120" s="188">
        <v>2.9</v>
      </c>
      <c r="N120" s="156">
        <v>6000</v>
      </c>
      <c r="O120" s="156">
        <v>8000</v>
      </c>
      <c r="P120" s="156">
        <v>9500</v>
      </c>
      <c r="Q120" s="156">
        <v>19500</v>
      </c>
      <c r="R120" s="189" t="s">
        <v>187</v>
      </c>
      <c r="S120" s="156" t="s">
        <v>40</v>
      </c>
      <c r="T120" s="189" t="s">
        <v>1124</v>
      </c>
      <c r="U120" s="189" t="s">
        <v>1125</v>
      </c>
      <c r="V120" s="108" t="s">
        <v>1126</v>
      </c>
      <c r="W120" s="113" t="s">
        <v>1127</v>
      </c>
      <c r="X120" s="113" t="s">
        <v>45</v>
      </c>
    </row>
    <row r="121" s="3" customFormat="1" ht="50" customHeight="1" spans="1:24">
      <c r="A121" s="180">
        <v>104</v>
      </c>
      <c r="B121" s="231"/>
      <c r="C121" s="182" t="str">
        <f>_xlfn.DISPIMG("ID_1DD451BE884443BD89AF331DE5850639",1)</f>
        <v>=DISPIMG("ID_1DD451BE884443BD89AF331DE5850639",1)</v>
      </c>
      <c r="D121" s="61" t="s">
        <v>1128</v>
      </c>
      <c r="E121" s="183" t="s">
        <v>1129</v>
      </c>
      <c r="F121" s="64" t="s">
        <v>1130</v>
      </c>
      <c r="G121" s="64" t="s">
        <v>1091</v>
      </c>
      <c r="H121" s="64" t="s">
        <v>1131</v>
      </c>
      <c r="I121" s="116" t="s">
        <v>1132</v>
      </c>
      <c r="J121" s="116" t="s">
        <v>1133</v>
      </c>
      <c r="K121" s="157">
        <v>229.7</v>
      </c>
      <c r="L121" s="157">
        <v>32.9</v>
      </c>
      <c r="M121" s="157">
        <v>0.9</v>
      </c>
      <c r="N121" s="184">
        <v>20000</v>
      </c>
      <c r="O121" s="184">
        <v>28000</v>
      </c>
      <c r="P121" s="184">
        <v>38000</v>
      </c>
      <c r="Q121" s="184">
        <v>48000</v>
      </c>
      <c r="R121" s="184" t="s">
        <v>187</v>
      </c>
      <c r="S121" s="184" t="s">
        <v>40</v>
      </c>
      <c r="T121" s="184" t="s">
        <v>1134</v>
      </c>
      <c r="U121" s="184" t="s">
        <v>1135</v>
      </c>
      <c r="V121" s="116" t="s">
        <v>1136</v>
      </c>
      <c r="W121" s="64" t="s">
        <v>1137</v>
      </c>
      <c r="X121" s="64" t="s">
        <v>45</v>
      </c>
    </row>
    <row r="122" s="1" customFormat="1" ht="50" customHeight="1" spans="1:24">
      <c r="A122" s="250">
        <v>105</v>
      </c>
      <c r="B122" s="251"/>
      <c r="C122" s="252" t="str">
        <f>_xlfn.DISPIMG("ID_AE0FADB7180045B4A3DFEFA8B30AE612",1)</f>
        <v>=DISPIMG("ID_AE0FADB7180045B4A3DFEFA8B30AE612",1)</v>
      </c>
      <c r="D122" s="71" t="s">
        <v>1138</v>
      </c>
      <c r="E122" s="253" t="s">
        <v>1139</v>
      </c>
      <c r="F122" s="150">
        <v>4538698</v>
      </c>
      <c r="G122" s="150" t="s">
        <v>1140</v>
      </c>
      <c r="H122" s="150" t="s">
        <v>1141</v>
      </c>
      <c r="I122" s="146" t="s">
        <v>1142</v>
      </c>
      <c r="J122" s="146" t="s">
        <v>1143</v>
      </c>
      <c r="K122" s="254">
        <v>352.1</v>
      </c>
      <c r="L122" s="254">
        <v>96.9</v>
      </c>
      <c r="M122" s="254">
        <v>4.1</v>
      </c>
      <c r="N122" s="255">
        <v>40000</v>
      </c>
      <c r="O122" s="255">
        <v>55000</v>
      </c>
      <c r="P122" s="255">
        <v>65000</v>
      </c>
      <c r="Q122" s="255">
        <v>75000</v>
      </c>
      <c r="R122" s="255" t="s">
        <v>187</v>
      </c>
      <c r="S122" s="255">
        <v>55000</v>
      </c>
      <c r="T122" s="255" t="s">
        <v>1144</v>
      </c>
      <c r="U122" s="255" t="s">
        <v>1145</v>
      </c>
      <c r="V122" s="255" t="s">
        <v>1146</v>
      </c>
      <c r="W122" s="150" t="s">
        <v>1147</v>
      </c>
      <c r="X122" s="150" t="s">
        <v>45</v>
      </c>
    </row>
  </sheetData>
  <autoFilter xmlns:etc="http://www.wps.cn/officeDocument/2017/etCustomData" ref="A2:AC122" etc:filterBottomFollowUsedRange="0">
    <extLst/>
  </autoFilter>
  <mergeCells count="3">
    <mergeCell ref="A1:X1"/>
    <mergeCell ref="N4:P4"/>
    <mergeCell ref="N5:P5"/>
  </mergeCells>
  <hyperlinks>
    <hyperlink ref="H122" r:id="rId2" display="https://v.douyin.com/ee1Ud3N/" tooltip="https://v.douyin.com/ee1Ud3N/"/>
    <hyperlink ref="H27" r:id="rId3" display="https://v.douyin.com/EngtHX/"/>
    <hyperlink ref="H95" r:id="rId4" display="https://v.douyin.com/JGoHUQ1/"/>
    <hyperlink ref="H40" r:id="rId5" display="https://v.douyin.com/En7hpe/"/>
    <hyperlink ref="H28" r:id="rId6" display="https://v.douyin.com/JCK38Tm/"/>
    <hyperlink ref="H32" r:id="rId7" display="https://v.douyin.com/eCcKy1K/"/>
    <hyperlink ref="H65" r:id="rId8" display="https://v.douyin.com/8bbdWJN/"/>
    <hyperlink ref="H109" r:id="rId9" display="https://v.douyin.com/N9wSKAr/" tooltip="https://v.douyin.com/N9wSKAr/"/>
    <hyperlink ref="H114" r:id="rId10" display="https://v.douyin.com/qAah9R/"/>
    <hyperlink ref="H90" r:id="rId11" display="https://v.douyin.com/evchkkA/"/>
    <hyperlink ref="H105" r:id="rId12" display="https://v.douyin.com/En7thx/"/>
    <hyperlink ref="H41" r:id="rId13" display="https://v.douyin.com/RLPXyXk/"/>
    <hyperlink ref="H63" r:id="rId14" display="https://v.douyin.com/YSFB7Vh/"/>
    <hyperlink ref="H57" r:id="rId15" display="https://v.douyin.com/jw6LBUB/"/>
    <hyperlink ref="H55" r:id="rId16" display="https://v.douyin.com/rNwDm9W/"/>
    <hyperlink ref="H121" r:id="rId17" display="https://v.douyin.com/rVAPr2p/"/>
    <hyperlink ref="H67" r:id="rId18" display="https://v.douyin.com/hQeDxNC/"/>
    <hyperlink ref="H21" r:id="rId19" display="https://v.douyin.com/N7vAXXo/"/>
    <hyperlink ref="H22" r:id="rId20" display="https://v.douyin.com/YFDupKa/"/>
    <hyperlink ref="H62" r:id="rId21" display="https://v.douyin.com/BNvsvjV/"/>
    <hyperlink ref="H34" r:id="rId22" display="https://v.douyin.com/BcRnESq/"/>
    <hyperlink ref="H84" r:id="rId23" display="https://v.douyin.com/S2jDbCK/"/>
    <hyperlink ref="H68" r:id="rId24" display="https://v.douyin.com/SyqNhh3/"/>
    <hyperlink ref="H96" r:id="rId25" display="https://v.douyin.com/AvYkCxx/"/>
    <hyperlink ref="H100" r:id="rId26" display="https://v.douyin.com/AEx3WQG/"/>
    <hyperlink ref="H30" r:id="rId27" display="https://v.douyin.com/jcNeW61/" tooltip="https://v.douyin.com/jcNeW61/"/>
    <hyperlink ref="H69" r:id="rId28" display="https://v.douyin.com/U7hrxCa/"/>
    <hyperlink ref="H70" r:id="rId29" display="https://v.douyin.com/iJCV86d/"/>
    <hyperlink ref="H4" r:id="rId30" display="https://v.douyin.com/N59HuqG/"/>
    <hyperlink ref="H107" r:id="rId31" display="https://v.douyin.com/ieJEk27r/"/>
    <hyperlink ref="H66" r:id="rId32" display="https://v.douyin.com/idVsSMmU/"/>
    <hyperlink ref="H25" r:id="rId33" display="https://v.douyin.com/iRjb6jSc/"/>
    <hyperlink ref="H98" r:id="rId34" display="https://v.douyin.com/iLb8hLmv/"/>
    <hyperlink ref="H36" r:id="rId35" display="https://v.douyin.com/iLnrNjSN/"/>
    <hyperlink ref="H47" r:id="rId36" display="https://v.douyin.com/eC3yEYf/"/>
    <hyperlink ref="H48" r:id="rId37" display="https://v.douyin.com/8Y1YhAe/"/>
    <hyperlink ref="H29" r:id="rId38" display="https://v.douyin.com/FSgqeNj/"/>
    <hyperlink ref="H33" r:id="rId39" display="https://v.douyin.com/ijAbtYL4/"/>
    <hyperlink ref="H92" r:id="rId40" display="https://v.douyin.com/ijjdY42F/"/>
    <hyperlink ref="H118" r:id="rId41" display="https://v.douyin.com/iY85x94D/"/>
    <hyperlink ref="H119" r:id="rId42" display="https://v.douyin.com/i2H5qaFs/"/>
    <hyperlink ref="H74" r:id="rId43" display="https://v.douyin.com/i6jrprmo/ 5@2.com" tooltip="https://v.douyin.com/i6jrprmo/ 5@2.com"/>
    <hyperlink ref="H58" r:id="rId44" display="https://v.douyin.com/ik1j1xge/ 9@3.com"/>
    <hyperlink ref="H99" r:id="rId45" display="https://v.douyin.com/ihY3Bnto/ 3@1.com"/>
    <hyperlink ref="H106" r:id="rId46" display="https://v.douyin.com/ihLfY4my/ 1@8.com"/>
    <hyperlink ref="H49" r:id="rId47" display="https://v.douyin.com/ikHJhdsd/ 5@0.com"/>
    <hyperlink ref="H52" r:id="rId48" display="https://v.douyin.com/iBXmyyq9/ 3@3.com"/>
    <hyperlink ref="H116" r:id="rId49" display="https://v.douyin.com/24q2eQN/"/>
    <hyperlink ref="H73" r:id="rId50" display="https://v.douyin.com/iDDaWpJE/ 8@1.com :1pm" tooltip="https://v.douyin.com/iDDaWpJE/ 8@1.com :1pm"/>
    <hyperlink ref="H59" r:id="rId51" display="https://v.douyin.com/iDDUXSLj/ 9@1.com :2pm"/>
    <hyperlink ref="H117" r:id="rId52" display="https://v.douyin.com/iUU8cHHq/"/>
    <hyperlink ref="H91" r:id="rId53" display="https://v.douyin.com/FSHKXaa/"/>
    <hyperlink ref="H20" r:id="rId54" display="https://v.douyin.com/RNPgvkV/" tooltip="https://v.douyin.com/RNPgvkV/"/>
    <hyperlink ref="H120" r:id="rId55" display="https://v.douyin.com/iYBa8VBc/"/>
    <hyperlink ref="H8" r:id="rId56" display="https://v.douyin.com/iy5xpGEA/"/>
    <hyperlink ref="H101" r:id="rId57" display="https://v.douyin.com/iDDrdfwC/ 9@0.com"/>
    <hyperlink ref="H19" r:id="rId58" display="https://v.douyin.com/dHJh1Q1/"/>
    <hyperlink ref="H18" r:id="rId59" display="https://v.douyin.com/rXkgpu2/"/>
    <hyperlink ref="H56" r:id="rId60" display="https://v.douyin.com/D2Syf86/"/>
    <hyperlink ref="H75" r:id="rId61" display="https://v.douyin.com/l48-W0BWH2c/" tooltip="https://v.douyin.com/l48-W0BWH2c/"/>
    <hyperlink ref="H13" r:id="rId62" display="https://v.douyin.com/_lMUnKhZ_vE/"/>
    <hyperlink ref="H86" r:id="rId63" display="https://v.douyin.com/i5boShFY/"/>
    <hyperlink ref="H88" r:id="rId64" display="https://v.douyin.com/iSSP2279/ 2@2.com"/>
    <hyperlink ref="H81" r:id="rId65" display="https://v.douyin.com/ieJE8VSW/"/>
    <hyperlink ref="H79" r:id="rId66" display="https://v.douyin.com/iJPnXVxk/"/>
    <hyperlink ref="H77" r:id="rId67" display="https://v.douyin.com/iJPnedXN/"/>
    <hyperlink ref="H78" r:id="rId68" display="https://v.douyin.com/iLnMvpHr/"/>
    <hyperlink ref="I116" r:id="rId69" display="https://www.xingtu.cn/ad/creator/author-homepage/douyin-video/6984651683640901662?market_track_id=L7P4GANMST0846PF62J0&amp;search_session_id=7506419875221504011&amp;video_type=2&amp;_route_from=from_page%3DMarket%26search_session_id%3D7506419875221504011%26is_for_order%3D1%26market_track_id%3DL7P4GANMST0846PF62J0%26platform_source%3D1%26key%3D%25E9%25B9%25BF%25E5%2584%25BFer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ooltip="https://www.xingtu.cn/ad/creator/author-homepage/douyin-video/6984651683640901662?market_track_id=L7P4GANMST0846PF62J0&amp;search_session_id=7506419875221504011&amp;video_type=2&amp;_route_from=from_page%3DMarket%26search_session_id%3D7506419875221504011%26is_for_ord"/>
    <hyperlink ref="I4" r:id="rId70" display="https://www.xingtu.cn/ad/creator/author-homepage/douyin-video/7078614603908317197?market_track_id=1YSRQNKR4S0KIKU5Y91R&amp;search_session_id=7506416249376358439&amp;video_type=2&amp;_route_from=from_page%3DMarket%26search_session_id%3D7506416249376358439%26is_for_order%3D1%26market_track_id%3D1YSRQNKR4S0KIKU5Y91R%26platform_source%3D1%26key%3D%25E6%259C%25B1%25E9%2593%2581%25E9%259B%258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" r:id="rId71" display="https://www.xingtu.cn/ad/creator/author-homepage/douyin-video/6746573383141425164?market_track_id=IQF8MKDF0SBPY8SY7L1R&amp;search_session_id=7506414821974310953&amp;video_type=2&amp;_route_from=from_page%3DMarket%26search_session_id%3D7506414821974310953%26is_for_order%3D1%26market_track_id%3DIQF8MKDF0SBPY8SY7L1R%26platform_source%3D1%26key%3D%25E8%25A5%25BF%25E7%2593%259C%25E5%25A5%2587%25E5%25B9%25BB%25E5%25B7%25A5%25E5%258E%2582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I27" r:id="rId72" display="https://www.xingtu.cn/ad/creator/author-homepage/douyin-video/6701875533669466123?market_track_id=Y0AJ09JJPQMI0X9YE9AH&amp;search_session_id=7506416770640199721&amp;video_type=2&amp;_route_from=from_page%3DMarket%26search_session_id%3D7506416770640199721%26is_for_order%3D1%26market_track_id%3DY0AJ09JJPQMI0X9YE9AH%26platform_source%3D1%26key%3D%25E5%25BD%25A6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8" r:id="rId73" display="https://www.xingtu.cn/ad/creator/author-homepage/douyin-video/6901242939247181837?market_track_id=3NJRXSI18EDC89GFPWSA&amp;search_session_id=7506417328482517003&amp;video_type=2&amp;_route_from=from_page%3DMarket%26search_session_id%3D7506417328482517003%26is_for_order%3D1%26market_track_id%3D3NJRXSI18EDC89GFPWSA%26platform_source%3D1%26key%3D%25E5%258A%25A0%25E8%258F%25B2%25E8%258F%25A1z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9" r:id="rId74" display="https://www.xingtu.cn/ad/creator/author-homepage/douyin-video/7088976987129118750?market_track_id=PKJYMCMSCNCDLLT2NLC8&amp;search_session_id=7506417544229322771&amp;video_type=2&amp;_route_from=from_page%3DMarket%26search_session_id%3D7506417544229322771%26is_for_order%3D1%26market_track_id%3DPKJYMCMSCNCDLLT2NLC8%26platform_source%3D1%26key%3D%25E6%2597%25A0%25E7%25B3%2596%25E5%25A5%25B6%25E8%258C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0" r:id="rId75" display="https://www.xingtu.cn/ad/creator/author-homepage/douyin-video/6969058840033624100?market_track_id=HO4R075KN87AMKT91EZI&amp;search_session_id=7506417746180341771&amp;video_type=2&amp;_route_from=from_page%3DMarket%26search_session_id%3D7506417746180341771%26is_for_order%3D1%26market_track_id%3DHO4R075KN87AMKT91EZI%26platform_source%3D1%26key%3D%25E5%2591%25A8%25E4%25B8%2589%25E6%258B%25B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2" r:id="rId76" display="https://www.xingtu.cn/ad/creator/author-homepage/douyin-video/6972449205344272397?market_track_id=12F1X1FVTARAS8ZLYBSV&amp;search_session_id=7506417675443978303&amp;video_type=2&amp;_route_from=from_page%3DMarket%26search_session_id%3D7506417675443978303%26is_for_order%3D1%26market_track_id%3D12F1X1FVTARAS8ZLYBSV%26platform_source%3D1%26key%3D%25E5%25A4%25A7%25E9%25BB%2584h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3" r:id="rId77" display="https://www.xingtu.cn/ad/creator/author-homepage/douyin-video/6870159698314657800?market_track_id=M6JS4GY2JCQA979V3KAD&amp;search_session_id=7506417872022290443&amp;video_type=2&amp;_route_from=from_page%3DMarket%26search_session_id%3D7506417872022290443%26is_for_order%3D1%26market_track_id%3DM6JS4GY2JCQA979V3KAD%26platform_source%3D1%26key%3D%25E5%25A9%25B5%25E5%25A9%25B5%25E8%25AF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9" r:id="rId78" display="https://www.xingtu.cn/ad/creator/author-homepage/douyin-video/6740393506990194696?market_track_id=DRKK9SM8L3131BHUIM88&amp;search_session_id=7506417872022700043&amp;video_type=2&amp;_route_from=from_page%3DMarket%26search_session_id%3D7506417872022700043%26is_for_order%3D1%26market_track_id%3DDRKK9SM8L3131BHUIM88%26platform_source%3D1%26key%3D%25E8%2583%2596%25E5%2598%259F%25E5%2598%259F%25E7%259A%2584%25E5%2598%259F%25E5%2598%259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4" r:id="rId79" display="https://www.xingtu.cn/ad/creator/author-homepage/douyin-video/6862212139365433351?market_track_id=JXOUKGOXRY4JAFGRHUQG&amp;search_session_id=7506418242886713356&amp;video_type=2&amp;_route_from=from_page%3DMarket%26search_session_id%3D7506418242886713356%26is_for_order%3D1%26market_track_id%3DJXOUKGOXRY4JAFGRHUQG%26platform_source%3D1%26key%3D%25E9%259D%2596%25E9%259B%2585%25E6%25AC%25A7%25E5%25B7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0" r:id="rId80" display="https://www.xingtu.cn/ad/creator/author-homepage/douyin-video/6810323760353116173?market_track_id=IA07VR1GJP47ACCZYL53&amp;search_session_id=7506418842764410892&amp;video_type=2&amp;_route_from=from_page%3DMarket%26search_session_id%3D7506418842764410892%26is_for_order%3D1%26market_track_id%3DIA07VR1GJP47ACCZYL53%26platform_source%3D1%26key%3D%25E6%259D%258E%25E4%25BA%258C%25E7%258B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1" r:id="rId81" display="https://www.xingtu.cn/ad/creator/author-homepage/douyin-video/6949818439837941797?market_track_id=9OPR4JK5A7HVRUI77UJN&amp;search_session_id=7506418791321731126&amp;video_type=2&amp;_route_from=from_page%3DMarket%26search_session_id%3D7506418791321731126%26is_for_order%3D1%26market_track_id%3D9OPR4JK5A7HVRUI77UJN%26platform_source%3D1%26key%3D%25E6%259E%2581%25E9%2580%259F%25E9%25A9%25AC%25E5%258A%259Bpart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7" r:id="rId82" display="https://www.xingtu.cn/ad/creator/author-homepage/douyin-video/6629127176400666631?market_track_id=N70MFCTDKM9P7OANQPMW&amp;search_session_id=7506419022990000191&amp;video_type=2&amp;_route_from=from_page%3DMarket%26search_session_id%3D7506419022990000191%26is_for_order%3D1%26market_track_id%3DN70MFCTDKM9P7OANQPMW%26platform_source%3D1%26key%3D%25E5%25A4%258F77%25F0%259F%259F%25A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8" r:id="rId83" display="https://www.xingtu.cn/ad/creator/author-homepage/douyin-video/6629725045386117128?market_track_id=SUU99W0ZLQ0TMB899JER&amp;search_session_id=7506419291269644299&amp;video_type=2&amp;_route_from=from_page%3DMarket%26search_session_id%3D7506419291269644299%26is_for_order%3D1%26market_track_id%3DSUU99W0ZLQ0TMB899JER%26platform_source%3D1%26key%3D%25E4%25B8%2581%25E5%2595%258A%25E5%258F%25A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9" r:id="rId84" display="https://www.xingtu.cn/ad/creator/author-homepage/douyin-video/6855307372995280896?market_track_id=0U7XA97WQ7FAZ0HB1OQJ&amp;search_session_id=7506419289869107212&amp;video_type=2&amp;_route_from=from_page%3DMarket%26search_session_id%3D7506419289869107212%26is_for_order%3D1%26market_track_id%3D0U7XA97WQ7FAZ0HB1OQJ%26platform_source%3D1%26key%3D%25E8%2592%258B%25E4%25B8%2580%25E4%25BA%25BF%25F0%259F%259A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2" r:id="rId85" display="https://www.xingtu.cn/ad/creator/author-homepage/douyin-video/6959337293316358177?market_track_id=ZFTAZJCSHTMZDAY2RDSW&amp;search_session_id=7506419462191530047&amp;video_type=2&amp;_route_from=from_page%3DMarket%26search_session_id%3D7506419462191530047%26is_for_order%3D1%26market_track_id%3DZFTAZJCSHTMZDAY2RDSW%26platform_source%3D1%26key%3D%25E7%259A%25AE%25E5%258D%25A1%25E7%2599%25BD%25E7%259A%2584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5" r:id="rId86" display="https://www.xingtu.cn/ad/creator/author-homepage/douyin-video/6789921129067724814?market_track_id=J7IHFN9EOYAI4FHGGJAS&amp;search_session_id=7506418399556157494&amp;video_type=2&amp;_route_from=from_page%3DMarket%26search_session_id%3D7506418399556157494%26is_for_order%3D1%26market_track_id%3DJ7IHFN9EOYAI4FHGGJAS%26platform_source%3D1%26key%3D%25E8%25B6%2585%25E4%25B8%258D%25E5%258F%25AF%25E7%2588%25B1%25E5%25B0%258F%25E6%259C%258B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6" r:id="rId87" display="https://www.xingtu.cn/ad/creator/author-homepage/douyin-video/6938687645769990180?market_track_id=DMIQS879LMYA0HUM1WM8&amp;search_session_id=7506418399556698166&amp;video_type=2&amp;_route_from=from_page%3DMarket%26search_session_id%3D7506418399556698166%26is_for_order%3D1%26market_track_id%3DDMIQS879LMYA0HUM1WM8%26platform_source%3D1%26key%3D%25E6%25B3%25BD%25E9%2599%25BD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7" r:id="rId88" display="https://www.xingtu.cn/ad/creator/author-homepage/douyin-video/6783864693632008200?market_track_id=DX2XFJA2VHND2WDXVECP&amp;search_session_id=7506418399556894774&amp;video_type=2&amp;_route_from=from_page%3DMarket%26search_session_id%3D7506418399556894774%26is_for_order%3D1%26market_track_id%3DDX2XFJA2VHND2WDXVECP%26platform_source%3D1%26key%3DCn%2B%25E8%2584%25B8%25E6%2589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8" r:id="rId89" display="https://www.xingtu.cn/ad/creator/author-homepage/douyin-video/6910389796934254599?market_track_id=ZAKP6TWX3Z0B093LXPGP&amp;search_session_id=7506415352033706038&amp;video_type=2&amp;_route_from=from_page%3DMarket%26search_session_id%3D7506415352033706038%26is_for_order%3D1%26market_track_id%3DZAKP6TWX3Z0B093LXPGP%26platform_source%3D1%26key%3D%25E9%25B9%25BF%25E9%2587%258C%25E7%259C%259F%25E8%258C%2597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I59" r:id="rId90" display="https://www.xingtu.cn/ad/creator/author-homepage/douyin-video/7260488513212710970?market_track_id=3V43JEXVIF8XB9KJH909&amp;search_session_id=7506416010629988393&amp;video_type=2&amp;_route_from=from_page%3DMarket%26search_session_id%3D7506416010629988393%26is_for_order%3D1%26market_track_id%3D3V43JEXVIF8XB9KJH909%26platform_source%3D1%26key%3D%25E5%25B0%258F%25E5%25B9%25B4N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2" r:id="rId91" display="https://www.xingtu.cn/ad/creator/author-homepage/douyin-video/6906468704179978253?market_track_id=PF8ZCBKZ0WM963G1RPPE&amp;search_session_id=7506418652669968420&amp;video_type=2&amp;_route_from=from_page%3DMarket%26search_session_id%3D7506418652669968420%26is_for_order%3D1%26market_track_id%3DPF8ZCBKZ0WM963G1RPPE%26platform_source%3D1%26key%3D%25E8%2581%25AA%25E4%25BB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3" r:id="rId92" display="https://www.xingtu.cn/ad/creator/author-homepage/douyin-video/6846195326383030286?market_track_id=FOAXG3JNKY28QCQJUMNJ&amp;search_session_id=7506419512900763660&amp;video_type=2&amp;_route_from=from_page%3DMarket%26search_session_id%3D7506419512900763660%26is_for_order%3D1%26market_track_id%3DFOAXG3JNKY28QCQJUMNJ%26platform_source%3D1%26key%3D%25E8%25BF%259E%25E8%259C%259C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0" r:id="rId93" display="https://www.xingtu.cn/ad/creator/author-homepage/douyin-video/6678504237074219021?market_track_id=D13CLSKP8FWFDVFPETW1&amp;search_session_id=7506418842764115980&amp;video_type=2&amp;_route_from=from_page%3DMarket%26search_session_id%3D7506418842764115980%26is_for_order%3D1%26market_track_id%3DD13CLSKP8FWFDVFPETW1%26platform_source%3D1%26key%3D%25E6%25AF%2594%25E6%25A0%25BC%25E8%25B4%25B9%25E8%25A5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5" r:id="rId94" display="https://www.xingtu.cn/ad/creator/author-homepage/douyin-video/6629659903533252612?market_track_id=49QF5IG7N77EGGQ6BGXL&amp;search_session_id=7506428888890212371&amp;video_type=2&amp;_route_from=from_page%3DMarket%26search_session_id%3D7506428888890212371%26is_for_order%3D1%26market_track_id%3D49QF5IG7N77EGGQ6BGXL%26platform_source%3D1%26key%3D%25E5%25A4%25A7%25E4%25BD%25AC%25E7%2594%259CGiovann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6" r:id="rId95" display="https://www.xingtu.cn/ad/creator/author-homepage/douyin-video/6734527767246798860?market_track_id=WKVXPSL4IKRQJNQ4NM5M&amp;search_session_id=7506429136802496531&amp;video_type=2&amp;_route_from=from_page%3DMarket%26search_session_id%3D7506429136802496531%26is_for_order%3D1%26market_track_id%3DWKVXPSL4IKRQJNQ4NM5M%26platform_source%3D1%26key%3D%25E9%259B%25AA%25E8%2595%258A%25E5%2591%2580%25EF%25BC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7" r:id="rId96" display="https://www.xingtu.cn/ad/creator/author-homepage/douyin-video/6596679555342139396?market_track_id=BT0EEIGVJVDIVEW41ZGX&amp;search_session_id=7506429136803135507&amp;video_type=2&amp;_route_from=from_page%3DMarket%26search_session_id%3D7506429136803135507%26is_for_order%3D1%26market_track_id%3DBT0EEIGVJVDIVEW41ZGX%26platform_source%3D1%26key%3D%25E7%258E%258B%25E6%2583%2585%25E6%25B0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8" r:id="rId97" display="https://www.xingtu.cn/ad/creator/author-homepage/douyin-video/6763253245738483715?market_track_id=C0I7KHGF451531MIIVWW&amp;search_session_id=7506416851413450764&amp;video_type=2&amp;_route_from=from_page%3DMarket%26search_session_id%3D7506416851413450764%26is_for_order%3D1%26market_track_id%3DC0I7KHGF451531MIIVWW%26platform_source%3D1%26key%3D%25E8%25B1%259A%25E8%25B1%259A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5" r:id="rId98" display="https://www.xingtu.cn/ad/creator/author-homepage/douyin-video/6918092611571941389?market_track_id=O3DRWQMXZTJK4BBZ0EKJ&amp;search_session_id=7506429452747112460&amp;video_type=2&amp;_route_from=from_page%3DMarket%26search_session_id%3D7506429452747112460%26is_for_order%3D1%26market_track_id%3DO3DRWQMXZTJK4BBZ0EKJ%26platform_source%3D1%26key%3D%25E6%25A2%25A6%25E8%25BD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9" r:id="rId99" display="https://www.xingtu.cn/ad/creator/author-homepage/douyin-video/6791920181795880967?market_track_id=IM3U27N5TPWIQ7CVV1N0&amp;search_session_id=7506429437123608587&amp;video_type=2&amp;_route_from=from_page%3DMarket%26search_session_id%3D7506429437123608587%26is_for_order%3D1%26market_track_id%3DIM3U27N5TPWIQ7CVV1N0%26platform_source%3D1%26key%3D%25E6%2598%25AF%25E8%2585%25BF%25E8%2585%25BF%25E8%2580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0" r:id="rId100" display="https://www.xingtu.cn/ad/creator/author-homepage/douyin-video/6942543953501618190?market_track_id=QX6ICE89U286JW02WLSZ&amp;search_session_id=7506429594061242407&amp;video_type=2&amp;_route_from=from_page%3DMarket%26search_session_id%3D7506429594061242407%26is_for_order%3D1%26market_track_id%3DQX6ICE89U286JW02WLSZ%26platform_source%3D1%26key%3D%25E4%25BF%259D%25E7%2590%25B3%25E7%2590%2583%25E6%259C%2589%25E7%2582%25B9%25E8%2583%259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4" r:id="rId101" display="https://www.xingtu.cn/ad/creator/author-homepage/douyin-video/6870170834816729101?market_track_id=SXJQ9HB0BYQ19L881TOF&amp;search_session_id=7506429719941808191&amp;video_type=2&amp;_route_from=from_page%3DMarket%26search_session_id%3D7506429719941808191%26is_for_order%3D1%26market_track_id%3DSXJQ9HB0BYQ19L881TOF%26platform_source%3D1%26key%3D%25E5%258C%2597%25E9%25BC%25BB%25E5%25B0%258F%25E5%25A4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3" r:id="rId102" display="https://www.xingtu.cn/ad/creator/author-homepage/douyin-video/6870166999796809741?market_track_id=P73HQ4QJ099QMC8KICTS&amp;search_session_id=7506430366560682038&amp;video_type=2&amp;_route_from=from_page%3DMarket%26search_session_id%3D7506430366560682038%26is_for_order%3D1%26market_track_id%3DP73HQ4QJ099QMC8KICTS%26platform_source%3D1%26key%3D%25E8%258E%25AB%25E5%25BE%2597%25E6%2584%259F%25E6%2583%2585%25E7%259A%2584%25E5%25B0%258F%25E8%2591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4" r:id="rId103" display="https://www.xingtu.cn/ad/creator/author-homepage/douyin-video/6611303266019966990?market_track_id=YZBLXF6ASWYQTM5LXYSG&amp;search_session_id=7506430525411033127&amp;video_type=2&amp;_route_from=from_page%3DMarket%26search_session_id%3D7506430525411033127%26is_for_order%3D1%26market_track_id%3DYZBLXF6ASWYQTM5LXYSG%26platform_source%3D1%26key%3D%25E5%25B0%258F%25E5%259B%259B%25E5%259B%259B%25F0%259F%258D%259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6" r:id="rId104" display="https://www.xingtu.cn/ad/creator/author-homepage/douyin-video/6870161289092530183?market_track_id=QPV4PC1JHVHA8GSUK8Z0&amp;search_session_id=7506430889400893459&amp;video_type=2&amp;_route_from=from_page%3DMarket%26search_session_id%3D7506430889400893459%26is_for_order%3D1%26market_track_id%3DQPV4PC1JHVHA8GSUK8Z0%26platform_source%3D1%26key%3D%25E6%2595%25A2%25E6%2595%25A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5" r:id="rId105" display="https://www.xingtu.cn/ad/creator/author-homepage/douyin-video/7488959372198936602?market_track_id=VWMFFQNDTW0BCBDHKNN4&amp;search_session_id=7506431099029028876&amp;video_type=2&amp;_route_from=from_page%3DMarket%26search_session_id%3D7506431099029028876%26is_for_order%3D1%26market_track_id%3DVWMFFQNDTW0BCBDHKNN4%26platform_source%3D1%26key%3D%25E5%25B0%258F%25E8%2592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0" r:id="rId106" display="https://www.xingtu.cn/ad/creator/author-homepage/douyin-video/6870159990577954824?market_track_id=T8BAMZBOBD6Z18OE3R93&amp;search_session_id=7506431138102444051&amp;video_type=2&amp;_route_from=from_page%3DMarket%26search_session_id%3D7506431138102444051%26is_for_order%3D1%26market_track_id%3DT8BAMZBOBD6Z18OE3R93%26platform_source%3D1%26key%3D%25E5%25A6%258D%25E7%2594%2584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7" r:id="rId107" display="https://www.xingtu.cn/ad/creator/author-homepage/douyin-video/7060481079546740749?market_track_id=2WEXY9CC3S5R884QCM1F&amp;search_session_id=7506420928160284711&amp;video_type=2&amp;_route_from=from_page%3DMarket%26search_session_id%3D7506420928160284711%26is_for_order%3D1%26market_track_id%3D2WEXY9CC3S5R884QCM1F%26platform_source%3D1%26key%3D%25E9%2587%2591%25E9%2599%25B5%25E5%25A5%2587%25E6%2580%25AA%25E7%259A%2584%25E7%2583%25A7%25E9%25A5%25B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8" r:id="rId108" display="https://www.xingtu.cn/ad/creator/author-homepage/douyin-video/6629660072450457603?market_track_id=JME3Y2ESKQDD9EPJYTQN&amp;search_session_id=7506420419478552587&amp;video_type=2&amp;_route_from=from_page%3DMarket%26search_session_id%3D7506420419478552587%26is_for_order%3D1%26market_track_id%3DJME3Y2ESKQDD9EPJYTQN%26platform_source%3D1%26key%3D%25E5%25BC%25A0%25E4%25BB%2580%25E4%25BB%258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9" r:id="rId109" display="https://www.xingtu.cn/ad/creator/author-homepage/douyin-video/7180709870071447609?market_track_id=PIEB08Z2JMFWPHSRFLIW&amp;search_session_id=7506421047202578443&amp;video_type=2&amp;_route_from=from_page%3DMarket%26search_session_id%3D7506421047202578443%26is_for_order%3D1%26market_track_id%3DPIEB08Z2JMFWPHSRFLIW%26platform_source%3D1%26key%3D%25E5%25BC%25A0%25E8%258B%25A5%25E5%25A5%25B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1" r:id="rId110" display="https://www.xingtu.cn/ad/creator/author-homepage/douyin-video/6765376911481765895?market_track_id=1KKSMRVM7CQC1GZEHIJS&amp;search_session_id=7506421245673291830&amp;video_type=2&amp;_route_from=from_page%3DMarket%26search_session_id%3D7506421245673291830%26is_for_order%3D1%26market_track_id%3D1KKSMRVM7CQC1GZEHIJS%26platform_source%3D1%26key%3D%25E6%2588%2591%25E6%2598%25AF%25E5%25B0%258F%25E7%25A8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6" r:id="rId111" display="https://www.xingtu.cn/ad/creator/author-homepage/douyin-video/6818363824530259981?market_track_id=GAK8PLETEK3HVV75L1IZ&amp;search_session_id=7506421950762696715&amp;video_type=2&amp;_route_from=from_page%3DMarket%26search_session_id%3D7506421950762696715%26is_for_order%3D1%26market_track_id%3DGAK8PLETEK3HVV75L1IZ%26platform_source%3D1%26key%3D%25E4%25BE%25AF%25E5%258D%259A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8" r:id="rId112" display="https://www.xingtu.cn/ad/creator/author-homepage/douyin-video/6843212354792980493?market_track_id=RG69PPQ1KDPGXJYV1UTS&amp;search_session_id=7506421678910603318&amp;video_type=2&amp;_route_from=from_page%3DMarket%26search_session_id%3D7506421678910603318%26is_for_order%3D1%26market_track_id%3DRG69PPQ1KDPGXJYV1UTS%26platform_source%3D1%26key%3D%25E4%25B9%259D%25E4%25B9%259D%25E6%2588%2591%25E5%2595%258A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1" r:id="rId113" display="https://www.xingtu.cn/ad/creator/author-homepage/douyin-video/7054120952338055205?market_track_id=FKDIAR06NAK77FX5SDBW&amp;search_session_id=7506424158482841612&amp;video_type=2&amp;_route_from=from_page%3DMarket%26search_session_id%3D7506424158482841612%26is_for_order%3D1%26market_track_id%3DFKDIAR06NAK77FX5SDBW%26platform_source%3D1%26key%3D%25E4%25B8%2580%25E6%25A0%25B9%25E8%2597%25A4%25E4%25B8%258A%25E4%25BA%2594%25E6%259C%25B5%25E8%258A%25B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2" r:id="rId114" display="https://www.xingtu.cn/ad/creator/author-homepage/douyin-video/7313479684807720997?market_track_id=ALH7D0J6JFUEFDK6KAID&amp;search_session_id=7506424265248751679&amp;video_type=2&amp;_route_from=from_page%3DMarket%26search_session_id%3D7506424265248751679%26is_for_order%3D1%26market_track_id%3DALH7D0J6JFUEFDK6KAID%26platform_source%3D1%26key%3D%25E4%25B8%2580%25E4%25B8%25AA%25E5%25B9%25BD%25E7%2581%25B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5" r:id="rId115" display="https://www.xingtu.cn/ad/creator/author-homepage/douyin-video/6602513255774552072?market_track_id=PTF8N8NPVNQT7WK3HW8Y&amp;search_session_id=7506424333159333907&amp;video_type=2&amp;_route_from=from_page%3DMarket%26search_session_id%3D7506424333159333907%26is_for_order%3D1%26market_track_id%3DPTF8N8NPVNQT7WK3HW8Y%26platform_source%3D1%26key%3D%25E4%25B8%2589%25E5%258D%2583%25E4%25BC%2581%25E9%25B9%258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6" r:id="rId116" display="https://www.xingtu.cn/ad/creator/author-homepage/douyin-video/6733529818639368206?market_track_id=WRTIL1B1HTNDE90QY48O&amp;search_session_id=7506424351446384681&amp;video_type=2&amp;_route_from=from_page%3DMarket%26search_session_id%3D7506424351446384681%26is_for_order%3D1%26market_track_id%3DWRTIL1B1HTNDE90QY48O%26platform_source%3D1%26key%3D%25E6%2599%25A8%25E6%2599%2593%25E4%25B9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9" r:id="rId117" display="https://www.xingtu.cn/ad/creator/author-homepage/douyin-video/6805457493347549198?market_track_id=ABWG93TWKLXV69FMO8CQ&amp;search_session_id=7506424543515459638&amp;video_type=2&amp;_route_from=from_page%3DMarket%26search_session_id%3D7506424543515459638%26is_for_order%3D1%26market_track_id%3DABWG93TWKLXV69FMO8CQ%26platform_source%3D1%26key%3D%25E8%25B5%259B%25E7%25BD%2597%25E7%259A%2584%25E5%25AE%259D%25E8%25B4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9" r:id="rId118" display="https://www.xingtu.cn/ad/creator/author-homepage/douyin-video/6808450102416375815?market_track_id=DN5LLR9P9Q9B1MGJYRAO&amp;search_session_id=7506424596179763254&amp;video_type=2&amp;_route_from=from_page%3DMarket%26search_session_id%3D7506424596179763254%26is_for_order%3D1%26market_track_id%3DDN5LLR9P9Q9B1MGJYRAO%26platform_source%3D1%26key%3D%25E8%25B0%25A2%25E6%25BD%2587%25E7%25BE%25BDx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8" r:id="rId119" display="https://www.xingtu.cn/ad/creator/author-homepage/douyin-video/6629665882937229325?market_track_id=ADFREOQU9K4XJ1E1ZMOD&amp;search_session_id=7506424794557890599&amp;video_type=2&amp;_route_from=from_page%3DMarket%26search_session_id%3D7506424794557890599%26is_for_order%3D1%26market_track_id%3DADFREOQU9K4XJ1E1ZMOD%26platform_source%3D1%26key%3D%25E5%258C%2597%25E6%2596%25B9%25E5%25A7%2591%25E5%25A8%2598%25EF%25BC%2588%25E7%25B3%2596%25E7%25B3%2596%25EF%25BC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0" r:id="rId120" display="https://www.xingtu.cn/ad/creator/author-homepage/douyin-video/6629661185576796164?market_track_id=E1N10QJIKJYZ2OX6B4WC&amp;search_session_id=7506425026556870695&amp;video_type=2&amp;_route_from=from_page%3DMarket%26search_session_id%3D7506425026556870695%26is_for_order%3D1%26market_track_id%3DE1N10QJIKJYZ2OX6B4WC%26platform_source%3D1%26key%3D%25E6%25A3%259A%25E6%25A3%259A%25E6%259C%25B1%25E5%258F%25A4%25E5%258A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3" r:id="rId121" display="https://www.xingtu.cn/ad/creator/author-homepage/douyin-video/6834011991800021005?market_track_id=SR3ZC29RTTZ0ZEBUVE23&amp;search_session_id=7506425026557263911&amp;video_type=2&amp;_route_from=from_page%3DMarket%26search_session_id%3D7506425026557263911%26is_for_order%3D1%26market_track_id%3DSR3ZC29RTTZ0ZEBUVE23%26platform_source%3D1%26key%3D%25E5%25BE%2590%25E5%258D%2581%25E4%25B8%2583%25E5%2598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1" r:id="rId122" display="https://www.xingtu.cn/ad/creator/author-homepage/douyin-video/6793284681224683534?market_track_id=WYYKHUE391R399LR5PQC&amp;search_session_id=7506425929252306956&amp;video_type=2&amp;_route_from=from_page%3DMarket%26search_session_id%3D7506425929252306956%26is_for_order%3D1%26market_track_id%3DWYYKHUE391R399LR5PQC%26platform_source%3D1%26key%3D%25E6%25B4%259B%25E4%25B8%25BD%25E5%25A1%2594%25E5%25A4%25A7%25E5%2593%25A5lolit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1" r:id="rId123" display="https://www.xingtu.cn/ad/creator/author-homepage/douyin-video/6813591753300377613?market_track_id=D1XV4JZ26VN8RR0N5HND&amp;search_session_id=7506427944303657014&amp;video_type=2&amp;_route_from=from_page%3DMarket%26search_session_id%3D7506427944303657014%26is_for_order%3D1%26market_track_id%3DD1XV4JZ26VN8RR0N5HND%26platform_source%3D1%26key%3D%25E5%25BD%25A6%25E5%2584%25BF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2" r:id="rId124" display="https://www.xingtu.cn/ad/creator/author-homepage/douyin-video/6985450122213588999?market_track_id=HAMOFE78QB1VJXO33CNW&amp;search_session_id=7506428100830363687&amp;video_type=2&amp;_route_from=from_page%3DMarket%26search_session_id%3D7506428100830363687%26is_for_order%3D1%26market_track_id%3DHAMOFE78QB1VJXO33CNW%26platform_source%3D1%26key%3D%25E5%25B0%258F%25E6%259E%2597%25E7%25B6%25A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5" r:id="rId125" display="https://www.xingtu.cn/ad/creator/author-homepage/douyin-video/6629127088207036430?market_track_id=HQ30STQYALVLETP50BBJ&amp;search_session_id=7506428133824708671&amp;video_type=2&amp;_route_from=from_page%3DMarket%26search_session_id%3D7506428133824708671%26is_for_order%3D1%26market_track_id%3DHQ30STQYALVLETP50BBJ%26platform_source%3D1%26key%3D%25E4%25BA%258C%25E5%2590%258C%25E5%2593%25A5%25E5%2593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6" r:id="rId126" display="https://www.xingtu.cn/ad/creator/author-homepage/douyin-video/6846209317889114120?market_track_id=58IHQXH5X0IERITR1FXA&amp;search_session_id=7506428168321531915&amp;video_type=2&amp;_route_from=from_page%3DMarket%26search_session_id%3D7506428168321531915%26is_for_order%3D1%26market_track_id%3D58IHQXH5X0IERITR1FXA%26platform_source%3D1%26key%3D%25E5%2588%2598%25E8%25B4%25BA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7" r:id="rId127" display="https://www.xingtu.cn/ad/creator/author-homepage/douyin-video/6870167809498808333?market_track_id=5JHIEM8JD0YPO75OONSK&amp;search_session_id=7506428303101018153&amp;video_type=2&amp;_route_from=from_page%3DMarket%26search_session_id%3D7506428303101018153%26is_for_order%3D1%26market_track_id%3D5JHIEM8JD0YPO75OONSK%26platform_source%3D1%26key%3D%25E5%25B0%258F%25E7%25A8%258B%25E4%25B8%258D%25E6%2598%25AF%25E5%25B0%258F%25E9%2599%2588%25E4%25B9%259F%25E4%25B8%258D%25E6%2598%25AF%25E5%25B0%258F%25E6%2588%259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8" r:id="rId128" display="https://www.xingtu.cn/ad/creator/author-homepage/douyin-video/7179569792829882426?market_track_id=2FOXOWJPSJT5SZW6D330&amp;search_session_id=7506428934028836900&amp;video_type=2&amp;_route_from=from_page%3DMarket%26search_session_id%3D7506428934028836900%26is_for_order%3D1%26market_track_id%3D2FOXOWJPSJT5SZW6D330%26platform_source%3D1%26key%3D%25E5%25B0%258F%25E9%259B%25AA%25E6%2597%25A5%25E8%25AE%25B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4" r:id="rId129" display="https://www.xingtu.cn/ad/creator/author-homepage/douyin-video/6596679993906954254?market_track_id=RHX9N8IZ5BDH2B8GR5YR&amp;search_session_id=7506419773791240255&amp;video_type=2&amp;_route_from=from_page%3DMarket%26search_session_id%3D7506419773791240255%26is_for_order%3D1%26market_track_id%3DRHX9N8IZ5BDH2B8GR5YR%26platform_source%3D1%26key%3D%25E5%25A4%259A%25E5%258A%25A0%25E7%2582%25B9DuoD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7" r:id="rId130" display="https://www.xingtu.cn/ad/creator/author-homepage/douyin-video/7348369428595081226?market_track_id=XGEHLZ9CA9OLF261XFQT&amp;search_session_id=7506420067140108299&amp;video_type=2&amp;_route_from=from_page%3DMarket%26search_session_id%3D7506420067140108299%26is_for_order%3D1%26market_track_id%3DXGEHLZ9CA9OLF261XFQT%26platform_source%3D1%26key%3D%25E5%25BC%25A0%25E5%25A5%25BD%25E5%25A5%25BD%25E7%2588%25B1%25E5%2590%2583%25E9%25B1%25BC%25F0%259F%2590%25A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8" r:id="rId131" display="https://www.xingtu.cn/ad/creator/author-homepage/douyin-video/7129889869039403015?market_track_id=14V3MPWQNE99BRC2Y8PU&amp;search_session_id=7506420126619566091&amp;video_type=2&amp;_route_from=from_page%3DMarket%26search_session_id%3D7506420126619566091%26is_for_order%3D1%26market_track_id%3D14V3MPWQNE99BRC2Y8PU%26platform_source%3D1%26key%3D%25E8%258A%25B1%25E5%258D%2583%25E5%25B0%258F%25E9%25AA%25A8%25E2%2581%25B8%25C2%25B2%25C2%25B9%25F0%259F%2595%258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9" r:id="rId132" display="https://www.xingtu.cn/ad/creator/author-homepage/douyin-video/7301232242683019273?market_track_id=AX2QE06W2PAHS8LH1D0I&amp;search_session_id=7506420191522275339&amp;video_type=2&amp;_route_from=from_page%3DMarket%26search_session_id%3D7506420191522275339%26is_for_order%3D1%26market_track_id%3DAX2QE06W2PAHS8LH1D0I%26platform_source%3D1%26key%3D%25E5%25AE%259B%25E5%25BA%25A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20" r:id="rId133" display="https://www.xingtu.cn/ad/creator/author-homepage/douyin-video/7351730252281806858?market_track_id=Q8KVA6MSVYLYCDFMCC1Q&amp;search_session_id=7506420302496841769&amp;video_type=2&amp;_route_from=from_page%3DMarket%26search_session_id%3D7506420302496841769%26is_for_order%3D1%26market_track_id%3DQ8KVA6MSVYLYCDFMCC1Q%26platform_source%3D1%26key%3D%25E5%259B%259B%25E4%25B9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21" r:id="rId134" display="https://www.xingtu.cn/ad/creator/author-homepage/douyin-video/7090145395988234255?market_track_id=CXX0T8PZX6VKRWU7FPCC&amp;search_session_id=7506419877101191179&amp;video_type=2&amp;_route_from=from_page%3DMarket%26search_session_id%3D7506419877101191179%26is_for_order%3D1%26market_track_id%3DCXX0T8PZX6VKRWU7FPCC%26platform_source%3D1%26key%3D%25E7%25BB%25B4%25E5%25A6%25AE%25E5%2584%25BFDance%25F0%259F%2591%25A3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22" r:id="rId135" display="https://www.xingtu.cn/ad/creator/author-homepage/douyin-video/6763255021673906180?market_track_id=0K7127XRBJCSUN1J1ML6&amp;search_session_id=7506419638394306579&amp;video_type=2&amp;_route_from=from_page%3DMarket%26search_session_id%3D7506419638394306579%26is_for_order%3D1%26market_track_id%3D0K7127XRBJCSUN1J1ML6%26platform_source%3D1%26key%3D%25E6%25B8%2585%25E5%25A6%258D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H50" r:id="rId136" display="https://v.douyin.com/NfM4H3xVgqI/ 0@0.com"/>
    <hyperlink ref="I50" r:id="rId137" display="https://www.xingtu.cn/ad/creator/author-homepage/douyin-video/6870160334506688526?market_track_id=ALUPYOHU2Q7WIQNY7CS6&amp;search_session_id=7529771916695224339&amp;possessStarId"/>
    <hyperlink ref="I12" r:id="rId138" display="https://www.xingtu.cn/ad/creator/author-homepage/douyin-video/7212165981076979770?market_track_id=C1YWJOJOH7GWYM2BJIBX&amp;search_session_id=7532374389598191658&amp;possessStarId"/>
    <hyperlink ref="H12" r:id="rId139" display="https://v.douyin.com/Y_T6k4YZ1jA/"/>
    <hyperlink ref="H83" r:id="rId140" display="https://v.douyin.com/9AFkA0NTkFQ/"/>
    <hyperlink ref="I83" r:id="rId141" display="https://www.xingtu.cn/ad/creator/author-homepage/douyin-video/6629722298792280068?market_track_id=ALE4EJ3WE9UOCFVX4NC4&amp;search_session_id=7532380290833645604&amp;possessStarId"/>
    <hyperlink ref="H11" r:id="rId142" display="https://v.douyin.com/em3sFvS6LMA/"/>
    <hyperlink ref="I11" r:id="rId143" display="https://www.xingtu.cn/ad/creator/author-homepage/douyin-video/6870112225344880653?market_track_id=MR61YKQACBEHR44TKR7E&amp;search_session_id=7533159252346241078&amp;possessStarId"/>
    <hyperlink ref="H115" r:id="rId144" display="https://v.douyin.com/l9yMFgFF4Ic/"/>
    <hyperlink ref="I115" r:id="rId145" display="https://www.xingtu.cn/ad/creator/author-homepage/douyin-video/7218220304135356471?market_track_id=T1HSWBAEXMH98GSH6MPV&amp;search_session_id=7550226290448875556&amp;possessStarId" tooltip="https://www.xingtu.cn/ad/creator/author-homepage/douyin-video/7218220304135356471?market_track_id=T1HSWBAEXMH98GSH6MPV&amp;search_session_id=7550226290448875556&amp;possessStarId"/>
    <hyperlink ref="H51" r:id="rId146" display="https://v.douyin.com/YVnZ2nB_6tQ/ 9@0.com"/>
    <hyperlink ref="I51" r:id="rId147" display="https://www.xingtu.cn/ad/creator/author-homepage/douyin-video/6729824086039461891?market_track_id=MR96FF0YLNLMW3T5JZGY&amp;search_session_id=7506415498557505577&amp;video_type=2&amp;_route_from=from_page%3DMarket%26search_session_id%3D7506415498557505577%26is_for_order%3D1%26market_track_id%3DMR96FF0YLNLMW3T5JZGY%26platform_source%3D1%26key%3D%25E7%259A%25AE%25E5%258D%25A1%25E7%2599%25BD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H72" r:id="rId148" display="https://v.douyin.com/eNCSeHH/"/>
    <hyperlink ref="I72" r:id="rId149" display="https://www.xingtu.cn/ad/creator/author-homepage/douyin-video/6870160411379892231?market_track_id=Q5M20T2PEK2M1R5YASOU&amp;search_session_id=7550219414239985705&amp;possessStarId" tooltip="https://www.xingtu.cn/ad/creator/author-homepage/douyin-video/6870160411379892231?market_track_id=Q5M20T2PEK2M1R5YASOU&amp;search_session_id=7550219414239985705&amp;possessStarId"/>
    <hyperlink ref="H24" r:id="rId150" display="https://v.douyin.com/eXcXMuA/"/>
    <hyperlink ref="H23" r:id="rId151" display="https://v.douyin.com/FmolR1KJook/"/>
    <hyperlink ref="I23" r:id="rId152" display="https://www.xingtu.cn/ad/creator/author-homepage/douyin-video/6859218264526962702?market_track_id=ESWOJZ4LL2IDD4QEYDFT&amp;search_session_id=7550213757390864438&amp;possessStarId"/>
    <hyperlink ref="I24" r:id="rId153" display="https://www.xingtu.cn/ad/creator/author-homepage/douyin-video/6977280720922214431?market_track_id=UG67XTJXH7NXPKDVOMTP&amp;search_session_id=7550213941088239658&amp;possessStarId"/>
    <hyperlink ref="I71" r:id="rId154" display="https://www.xingtu.cn/ad/creator/author-homepage/douyin-video/6950547741772611621?market_track_id=TNBIOM0X2B5CFEY1M52H&amp;search_session_id=7555809283087810599&amp;possessStarId"/>
    <hyperlink ref="H71" r:id="rId155" display="https://v.douyin.com/EYsYmOl35_o/"/>
    <hyperlink ref="H104" r:id="rId156" display="https://v.douyin.com/YPNJaozIgqY/"/>
    <hyperlink ref="I104" r:id="rId157" display="https://www.xingtu.cn/ad/creator/author-homepage/douyin-video/7530268826995261481?market_track_id=AFYCHK8E6RNNZI1D3OYX&amp;search_session_id=7560902726126403620&amp;possessStarId"/>
    <hyperlink ref="H16" r:id="rId158" display="https://v.douyin.com/NYLfLoo/"/>
    <hyperlink ref="I16" r:id="rId159" display="https://www.xingtu.cn/ad/creator/author-homepage/douyin-video/6800827006318542862?market_track_id=WGDIPUY8NR4CR015XCAO&amp;search_session_id=7550217227611275305&amp;possessStarId"/>
    <hyperlink ref="H54" r:id="rId160" display="https://v.douyin.com/91XqThN95LU/"/>
    <hyperlink ref="I54" r:id="rId161" display="https://www.xingtu.cn/ad/creator/author-homepage/douyin-video/6596679736393465860?market_track_id=APBR2FCN2QFQPX0QSDB3&amp;search_session_id=7565742280636989503&amp;possessStarId"/>
    <hyperlink ref="H89" r:id="rId162" display="https://v.douyin.com/X59bTLxsw30/"/>
    <hyperlink ref="I89" r:id="rId163" display="https://www.xingtu.cn/ad/creator/author-homepage/douyin-video/7407743938431287347?market_track_id=6VJJY5F6E3FS3YS952O9&amp;search_session_id=7566145823580274730&amp;possessStarId"/>
    <hyperlink ref="H87" r:id="rId164" display="https://v.douyin.com/bHqAlsCKcIw/"/>
    <hyperlink ref="I87" r:id="rId165" display="https://www.xingtu.cn/ad/creator/author-homepage/douyin-video/7548699303942832174?market_track_id=A1GVOKQQEDPMPOB3NZJQ&amp;search_session_id=7567378003446431795&amp;possessStarId"/>
    <hyperlink ref="H31" r:id="rId166" display="https://v.douyin.com/-b2XUM3O2qk/"/>
    <hyperlink ref="I31" r:id="rId167" display="https://www.xingtu.cn/ad/creator/author-homepage/douyin-video/6881097634480652296?market_track_id=VTJM4Z9RTPETU9VQST4G&amp;search_session_id=7569060253904846889&amp;possessStarId"/>
    <hyperlink ref="H5" r:id="rId168" display="https://v.douyin.com/P9i7l467NEs/"/>
    <hyperlink ref="I5" r:id="rId169" display="https://www.xingtu.cn/ad/creator/author-homepage/douyin-video/7568817054545412146?market_track_id=98IZH98452SRN4JC5R92&amp;search_session_id=7569069326943715391&amp;possessStarId"/>
    <hyperlink ref="H82" r:id="rId170" display="https://v.douyin.com/YnUjViz55N4/"/>
    <hyperlink ref="I82" r:id="rId171" display="https://www.xingtu.cn/ad/creator/author-homepage/douyin-video/6716888711335772164?market_track_id=IFYOO8BHE9JNSSK8UBE6&amp;search_session_id=7571704554984472619&amp;possessStarId"/>
    <hyperlink ref="H43" r:id="rId172" display="https://v.douyin.com/Fo6zCYRvpPA/"/>
    <hyperlink ref="I43" r:id="rId173" display="https://www.xingtu.cn/ad/creator/author-homepage/douyin-video/7381766949996331017?market_track_id=NEDQY0AMQQDYQN41G8CM&amp;search_session_id=7572463486438735878&amp;possessStarId"/>
    <hyperlink ref="H44" r:id="rId174" display="https://v.douyin.com/_FIjdu3XHpI/"/>
    <hyperlink ref="H45" r:id="rId175" display="https://v.douyin.com/0QUqPDyOiYI/"/>
    <hyperlink ref="I44" r:id="rId176" display="https://www.xingtu.cn/ad/creator/author-homepage/douyin-video/7515706747558821914?market_track_id=V0L18ORLB0HFDNBMGWSO&amp;search_session_id=7572463472073343017&amp;possessStarId"/>
    <hyperlink ref="I45" r:id="rId177" display="https://www.xingtu.cn/ad/creator/author-homepage/douyin-video/7547976599398318089?market_track_id=R5DZ8YSWRGDLDFHSKGHK&amp;search_session_id=7572463525462655039&amp;possessStarId"/>
    <hyperlink ref="H60" r:id="rId178" display="https://v.douyin.com/wY5EbAVpuV8/"/>
    <hyperlink ref="I60" r:id="rId179" display="https://www.xingtu.cn/ad/creator/author-homepage/douyin-video/7488315869542481958?market_track_id=GN4C1YMKB8J6X9QKJHNN&amp;search_session_id=7576565643592663094&amp;possessStarId"/>
    <hyperlink ref="H85" r:id="rId180" display="https://v.douyin.com/bwEB4nNFwkw/"/>
    <hyperlink ref="I85" r:id="rId181" display="https://www.xingtu.cn/ad/creator/author-homepage/douyin-video/7021345477824086023?market_track_id=11PZ14U0SM90UR985ZXZ&amp;search_session_id=7576943175823179812&amp;possessStarId&amp;active_tab=content_performance&amp;active_module=.content-video-list-panel&amp;content_key_word=%E5%A8%9C%E6%89%8E%E5%88%86%E6%B8%A3"/>
    <hyperlink ref="H112" r:id="rId182" display="https://v.douyin.com/Wd-9v46EwOo/"/>
    <hyperlink ref="I112" r:id="rId183" display="https://www.xingtu.cn/ad/creator/author-homepage/douyin-video/7437412455573094438?market_track_id=OZDXFB6LRY6IARAR1ZJR&amp;search_session_id=7577287979769987108&amp;possessStarId"/>
    <hyperlink ref="H37" r:id="rId184" display="https://v.douyin.com/BHaAiBM_k3w/"/>
    <hyperlink ref="I37" r:id="rId185" display="https://www.xingtu.cn/ad/creator/author-homepage/douyin-video/6819548254661771272?market_track_id=AH4RR3UMN9HSCR01P642&amp;search_session_id=7579518972032024582&amp;possessStarId"/>
    <hyperlink ref="H35" r:id="rId186" display="https://v.douyin.com/sW37YfqVKkg/"/>
    <hyperlink ref="I35" r:id="rId187" display="https://www.xingtu.cn/ad/creator/author-homepage/douyin-video/6963730998898982948?market_track_id=7AOT1L3NXCYERYL2WKII&amp;search_session_id=7579578253254754358&amp;possessStarId"/>
    <hyperlink ref="H93" r:id="rId188" display="https://v.douyin.com/UppQ41r130A/"/>
    <hyperlink ref="I93" r:id="rId189" display="https://www.xingtu.cn/ad/creator/author-homepage/douyin-video/7421456107962368035?market_track_id=K01Z0FZ5DRR53BHT7OPI&amp;search_session_id=7582861478090899475&amp;possessStarId"/>
    <hyperlink ref="H102" r:id="rId190" display="https://v.douyin.com/z7JKhSGLHj4/"/>
    <hyperlink ref="I102" r:id="rId191" display="https://www.xingtu.cn/ad/creator/author-homepage/douyin-video/7072935851847581734?market_track_id=LDXVS0SXIARWO5W865W2&amp;search_session_id=7583963797183758342&amp;possessStarId"/>
    <hyperlink ref="H46" r:id="rId192" display="https://v.douyin.com/UMaHdy_IyKw/"/>
    <hyperlink ref="I46" r:id="rId193" display="https://www.xingtu.cn/ad/creator/author-homepage/douyin-video/7220300260617224252?market_track_id=3KUHLSB48RKZ5QU7UJG1&amp;search_session_id=7585483192904761398&amp;possessStarId"/>
    <hyperlink ref="H7" r:id="rId194" display="https://v.douyin.com/9sgmrPxyfp8/"/>
    <hyperlink ref="I7" r:id="rId195" display="https://www.xingtu.cn/ad/creator/author-homepage/douyin-video/6845057970179407879?market_track_id=E4Y19KVH1MWTEGLI5F2L&amp;search_session_id=7586573267851608070&amp;possessStarId"/>
    <hyperlink ref="H9" r:id="rId196" display="https://v.douyin.com/ijRaTmKu/"/>
    <hyperlink ref="I9" r:id="rId197" display="https://www.xingtu.cn/ad/creator/author-homepage/douyin-video/7164610130468667422?market_track_id=UDUYNLMS4L8IX6O5Q35O&amp;search_session_id=7587244361512747027&amp;possessStarId"/>
    <hyperlink ref="H17" r:id="rId198" display="https://v.douyin.com/mQXUpIr3xO0/"/>
    <hyperlink ref="I17" r:id="rId199" display="https://www.xingtu.cn/ad/creator/author-homepage/douyin-video/7353512627252920346?market_track_id=F644SGRAKU4KVG6NFBUU&amp;search_session_id=7579571893079212038&amp;possessStarId" tooltip="https://www.xingtu.cn/ad/creator/author-homepage/douyin-video/7353512627252920346?market_track_id=F644SGRAKU4KVG6NFBUU&amp;search_session_id=7579571893079212038&amp;possessStarId"/>
    <hyperlink ref="H38" r:id="rId200" display="https://v.douyin.com/--EOPwGtm5E/"/>
    <hyperlink ref="H103" r:id="rId201" display="https://v.douyin.com/KeTRN28g1m0/"/>
    <hyperlink ref="I103" r:id="rId202" display="https://www.xingtu.cn/ad/creator/author-homepage/douyin-video/7326903080321024010?market_track_id=4ED161GP8MO20S4OQWX6&amp;search_session_id=7593255005709598774&amp;possessStarId"/>
    <hyperlink ref="H14" r:id="rId203" display="https://v.douyin.com/cCHj7dKTG10/" tooltip="https://v.douyin.com/cCHj7dKTG10/"/>
    <hyperlink ref="I14" r:id="rId204" display="https://www.xingtu.cn/ad/creator/author-homepage/douyin-video/6870166394432913422?market_track_id=7LU66Y0MMMAC8P83FUP9&amp;search_session_id=7597722017286488118&amp;possessStarId"/>
    <hyperlink ref="H110" r:id="rId205" display="https://v.douyin.com/oc0iSkp3I-Y/" tooltip="https://v.douyin.com/oc0iSkp3I-Y/"/>
    <hyperlink ref="I110" r:id="rId206" display="https://www.xingtu.cn/ad/creator/author-homepage/douyin-video/6870112228712923144?market_track_id=I0U981DWX92MXI5VN9S6&amp;search_session_id=7597722299365965878&amp;possessStarId"/>
    <hyperlink ref="I38" r:id="rId207" display="https://www.xingtu.cn/ad/creator/author-homepage/douyin-video/7098360218605584397?market_track_id=3JWSUIQCG3KMWOONLRSM&amp;search_session_id=7599601920637927465&amp;possessStarId"/>
    <hyperlink ref="I42" r:id="rId208" display="https://www.xingtu.cn/ad/creator/author-homepage/douyin-video/6686261173408497672?market_track_id=C9KC0V2695YKCAMPRZAN&amp;search_session_id=7603622751542902847&amp;possessStarId"/>
    <hyperlink ref="H42" r:id="rId209" display="https://v.douyin.com/HPjVdhwpF6g/"/>
  </hyperlink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4"/>
  </sheetPr>
  <dimension ref="A1:O28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K23" sqref="K23"/>
    </sheetView>
  </sheetViews>
  <sheetFormatPr defaultColWidth="9.81666666666667" defaultRowHeight="13.5"/>
  <cols>
    <col min="1" max="1" width="9.64166666666667" style="1"/>
    <col min="2" max="2" width="5.625" style="33" customWidth="1"/>
    <col min="3" max="3" width="7.625" style="33" customWidth="1"/>
    <col min="4" max="4" width="15.7583333333333" style="151" customWidth="1"/>
    <col min="5" max="5" width="30.3916666666667" style="33" customWidth="1"/>
    <col min="6" max="6" width="14.5583333333333" style="33" customWidth="1"/>
    <col min="7" max="7" width="11.8916666666667" style="33" customWidth="1"/>
    <col min="8" max="8" width="30.4583333333333" style="33" customWidth="1"/>
    <col min="9" max="10" width="9.625" style="33" customWidth="1"/>
    <col min="11" max="13" width="13.775" style="33" customWidth="1"/>
    <col min="14" max="14" width="34.4583333333333" style="152" customWidth="1"/>
    <col min="15" max="15" width="5.44166666666667" style="33" customWidth="1"/>
    <col min="16" max="16382" width="9.64166666666667" style="1"/>
    <col min="16383" max="16384" width="9.81666666666667" style="1"/>
  </cols>
  <sheetData>
    <row r="1" s="1" customFormat="1" ht="70" customHeight="1" spans="1:15">
      <c r="A1" s="153" t="s">
        <v>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="2" customFormat="1" ht="30" customHeight="1" spans="1:15">
      <c r="A2" s="154" t="s">
        <v>1148</v>
      </c>
      <c r="B2" s="154" t="s">
        <v>7</v>
      </c>
      <c r="C2" s="154" t="s">
        <v>9</v>
      </c>
      <c r="D2" s="154" t="s">
        <v>10</v>
      </c>
      <c r="E2" s="154" t="s">
        <v>1149</v>
      </c>
      <c r="F2" s="154" t="s">
        <v>12</v>
      </c>
      <c r="G2" s="154" t="s">
        <v>1150</v>
      </c>
      <c r="H2" s="12" t="s">
        <v>14</v>
      </c>
      <c r="I2" s="12" t="s">
        <v>1151</v>
      </c>
      <c r="J2" s="12" t="s">
        <v>18</v>
      </c>
      <c r="K2" s="12" t="s">
        <v>20</v>
      </c>
      <c r="L2" s="12" t="s">
        <v>21</v>
      </c>
      <c r="M2" s="12" t="s">
        <v>22</v>
      </c>
      <c r="N2" s="155" t="s">
        <v>1152</v>
      </c>
      <c r="O2" s="154" t="s">
        <v>30</v>
      </c>
    </row>
    <row r="3" s="1" customFormat="1" ht="40" customHeight="1" spans="1:15">
      <c r="A3" s="43" t="s">
        <v>1153</v>
      </c>
      <c r="B3" s="113">
        <v>1</v>
      </c>
      <c r="C3" s="65" t="str">
        <f>_xlfn.DISPIMG("ID_B834CA9A2438445EADFD937FC78AAE9F",1)</f>
        <v>=DISPIMG("ID_B834CA9A2438445EADFD937FC78AAE9F",1)</v>
      </c>
      <c r="D3" s="43" t="s">
        <v>1154</v>
      </c>
      <c r="E3" s="113" t="s">
        <v>1155</v>
      </c>
      <c r="F3" s="43" t="s">
        <v>1156</v>
      </c>
      <c r="G3" s="43" t="s">
        <v>1157</v>
      </c>
      <c r="H3" s="43" t="s">
        <v>1158</v>
      </c>
      <c r="I3" s="46">
        <v>603.4</v>
      </c>
      <c r="J3" s="46">
        <v>321.6</v>
      </c>
      <c r="K3" s="156">
        <v>150000</v>
      </c>
      <c r="L3" s="156">
        <v>180000</v>
      </c>
      <c r="M3" s="156">
        <v>200000</v>
      </c>
      <c r="N3" s="113" t="s">
        <v>1159</v>
      </c>
      <c r="O3" s="43" t="s">
        <v>594</v>
      </c>
    </row>
    <row r="4" s="1" customFormat="1" ht="40" customHeight="1" spans="1:15">
      <c r="A4" s="61" t="s">
        <v>1160</v>
      </c>
      <c r="B4" s="61">
        <v>2</v>
      </c>
      <c r="C4" s="61" t="str">
        <f>_xlfn.DISPIMG("ID_ED6D7241C08D4B8081FD7E8F3FBC30D4",1)</f>
        <v>=DISPIMG("ID_ED6D7241C08D4B8081FD7E8F3FBC30D4",1)</v>
      </c>
      <c r="D4" s="61" t="s">
        <v>1161</v>
      </c>
      <c r="E4" s="64" t="s">
        <v>1162</v>
      </c>
      <c r="F4" s="64" t="s">
        <v>1163</v>
      </c>
      <c r="G4" s="64" t="s">
        <v>1164</v>
      </c>
      <c r="H4" s="64" t="s">
        <v>1165</v>
      </c>
      <c r="I4" s="157">
        <v>1634.6</v>
      </c>
      <c r="J4" s="157">
        <v>72.1</v>
      </c>
      <c r="K4" s="158">
        <v>150000</v>
      </c>
      <c r="L4" s="158">
        <v>200000</v>
      </c>
      <c r="M4" s="158">
        <v>250000</v>
      </c>
      <c r="N4" s="64" t="s">
        <v>1166</v>
      </c>
      <c r="O4" s="64" t="s">
        <v>45</v>
      </c>
    </row>
    <row r="5" s="1" customFormat="1" ht="40" customHeight="1" spans="1:15">
      <c r="A5" s="43" t="s">
        <v>1160</v>
      </c>
      <c r="B5" s="113">
        <v>3</v>
      </c>
      <c r="C5" s="65" t="str">
        <f>_xlfn.DISPIMG("ID_0DC8C4949D3E409B87AEA9AB3791B26D",1)</f>
        <v>=DISPIMG("ID_0DC8C4949D3E409B87AEA9AB3791B26D",1)</v>
      </c>
      <c r="D5" s="43" t="s">
        <v>1167</v>
      </c>
      <c r="E5" s="113" t="s">
        <v>1168</v>
      </c>
      <c r="F5" s="43">
        <v>31758870</v>
      </c>
      <c r="G5" s="43" t="s">
        <v>1164</v>
      </c>
      <c r="H5" s="43" t="s">
        <v>1169</v>
      </c>
      <c r="I5" s="46">
        <v>210.7</v>
      </c>
      <c r="J5" s="46">
        <v>185.7</v>
      </c>
      <c r="K5" s="156">
        <v>35000</v>
      </c>
      <c r="L5" s="156">
        <v>38000</v>
      </c>
      <c r="M5" s="156">
        <v>42000</v>
      </c>
      <c r="N5" s="113" t="s">
        <v>1170</v>
      </c>
      <c r="O5" s="43" t="s">
        <v>45</v>
      </c>
    </row>
    <row r="6" s="1" customFormat="1" ht="40" customHeight="1" spans="1:15">
      <c r="A6" s="61" t="s">
        <v>293</v>
      </c>
      <c r="B6" s="61">
        <v>4</v>
      </c>
      <c r="C6" s="61" t="str">
        <f>_xlfn.DISPIMG("ID_B63F0D4E47FD4237923B412788D91114",1)</f>
        <v>=DISPIMG("ID_B63F0D4E47FD4237923B412788D91114",1)</v>
      </c>
      <c r="D6" s="61" t="s">
        <v>1171</v>
      </c>
      <c r="E6" s="64" t="s">
        <v>1172</v>
      </c>
      <c r="F6" s="64" t="s">
        <v>1173</v>
      </c>
      <c r="G6" s="64" t="s">
        <v>293</v>
      </c>
      <c r="H6" s="64" t="s">
        <v>1174</v>
      </c>
      <c r="I6" s="157">
        <v>546</v>
      </c>
      <c r="J6" s="157">
        <v>58.7</v>
      </c>
      <c r="K6" s="158">
        <v>27450</v>
      </c>
      <c r="L6" s="158">
        <v>45000</v>
      </c>
      <c r="M6" s="158">
        <v>60000</v>
      </c>
      <c r="N6" s="64" t="s">
        <v>1175</v>
      </c>
      <c r="O6" s="64" t="s">
        <v>573</v>
      </c>
    </row>
    <row r="7" s="1" customFormat="1" ht="40" customHeight="1" spans="1:15">
      <c r="A7" s="43" t="s">
        <v>293</v>
      </c>
      <c r="B7" s="113">
        <v>5</v>
      </c>
      <c r="C7" s="65" t="str">
        <f>_xlfn.DISPIMG("ID_4667BC96DDF2491FBB744EB49DCB619C",1)</f>
        <v>=DISPIMG("ID_4667BC96DDF2491FBB744EB49DCB619C",1)</v>
      </c>
      <c r="D7" s="43" t="s">
        <v>1176</v>
      </c>
      <c r="E7" s="113" t="s">
        <v>1177</v>
      </c>
      <c r="F7" s="43" t="s">
        <v>1178</v>
      </c>
      <c r="G7" s="43" t="s">
        <v>153</v>
      </c>
      <c r="H7" s="43" t="s">
        <v>1179</v>
      </c>
      <c r="I7" s="46">
        <v>169.6</v>
      </c>
      <c r="J7" s="46">
        <v>17.6</v>
      </c>
      <c r="K7" s="156">
        <v>100000</v>
      </c>
      <c r="L7" s="156">
        <v>120000</v>
      </c>
      <c r="M7" s="156">
        <v>180000</v>
      </c>
      <c r="N7" s="113" t="s">
        <v>1180</v>
      </c>
      <c r="O7" s="43" t="s">
        <v>1181</v>
      </c>
    </row>
    <row r="8" s="1" customFormat="1" ht="40" customHeight="1" spans="1:15">
      <c r="A8" s="61" t="s">
        <v>293</v>
      </c>
      <c r="B8" s="61">
        <v>6</v>
      </c>
      <c r="C8" s="61" t="str">
        <f>_xlfn.DISPIMG("ID_09555191A04C47CE80C8671C51A1789E",1)</f>
        <v>=DISPIMG("ID_09555191A04C47CE80C8671C51A1789E",1)</v>
      </c>
      <c r="D8" s="61" t="s">
        <v>1182</v>
      </c>
      <c r="E8" s="64" t="s">
        <v>1183</v>
      </c>
      <c r="F8" s="64" t="s">
        <v>1184</v>
      </c>
      <c r="G8" s="64" t="s">
        <v>293</v>
      </c>
      <c r="H8" s="64" t="s">
        <v>1185</v>
      </c>
      <c r="I8" s="157">
        <v>59.5</v>
      </c>
      <c r="J8" s="157">
        <v>32.1</v>
      </c>
      <c r="K8" s="158">
        <v>11800</v>
      </c>
      <c r="L8" s="158">
        <v>15800</v>
      </c>
      <c r="M8" s="158">
        <v>19800</v>
      </c>
      <c r="N8" s="64" t="s">
        <v>1186</v>
      </c>
      <c r="O8" s="64" t="s">
        <v>562</v>
      </c>
    </row>
    <row r="9" s="1" customFormat="1" ht="40" customHeight="1" spans="1:15">
      <c r="A9" s="43" t="s">
        <v>1187</v>
      </c>
      <c r="B9" s="113">
        <v>7</v>
      </c>
      <c r="C9" s="65" t="str">
        <f>_xlfn.DISPIMG("ID_0BB29904F01945A098FA5B13AF9C6B23",1)</f>
        <v>=DISPIMG("ID_0BB29904F01945A098FA5B13AF9C6B23",1)</v>
      </c>
      <c r="D9" s="43" t="s">
        <v>1188</v>
      </c>
      <c r="E9" s="113" t="s">
        <v>1189</v>
      </c>
      <c r="F9" s="43" t="s">
        <v>1190</v>
      </c>
      <c r="G9" s="43" t="s">
        <v>1187</v>
      </c>
      <c r="H9" s="43" t="s">
        <v>1191</v>
      </c>
      <c r="I9" s="46">
        <v>125.8</v>
      </c>
      <c r="J9" s="46">
        <v>39.9</v>
      </c>
      <c r="K9" s="156">
        <v>50000</v>
      </c>
      <c r="L9" s="156">
        <v>55000</v>
      </c>
      <c r="M9" s="156">
        <v>60000</v>
      </c>
      <c r="N9" s="113" t="s">
        <v>1192</v>
      </c>
      <c r="O9" s="43" t="s">
        <v>573</v>
      </c>
    </row>
    <row r="10" s="1" customFormat="1" ht="40" customHeight="1" spans="1:15">
      <c r="A10" s="61" t="s">
        <v>924</v>
      </c>
      <c r="B10" s="61">
        <v>8</v>
      </c>
      <c r="C10" s="61" t="str">
        <f>_xlfn.DISPIMG("ID_3612EE88D5934574A901D287B93AF116",1)</f>
        <v>=DISPIMG("ID_3612EE88D5934574A901D287B93AF116",1)</v>
      </c>
      <c r="D10" s="61" t="s">
        <v>1193</v>
      </c>
      <c r="E10" s="64" t="s">
        <v>1194</v>
      </c>
      <c r="F10" s="64" t="s">
        <v>1195</v>
      </c>
      <c r="G10" s="64" t="s">
        <v>790</v>
      </c>
      <c r="H10" s="64" t="s">
        <v>1196</v>
      </c>
      <c r="I10" s="157">
        <v>614.1</v>
      </c>
      <c r="J10" s="157">
        <v>22.4</v>
      </c>
      <c r="K10" s="158">
        <v>250000</v>
      </c>
      <c r="L10" s="158">
        <v>280000</v>
      </c>
      <c r="M10" s="158">
        <v>300000</v>
      </c>
      <c r="N10" s="64" t="s">
        <v>1197</v>
      </c>
      <c r="O10" s="64" t="s">
        <v>573</v>
      </c>
    </row>
    <row r="11" s="1" customFormat="1" ht="40" customHeight="1" spans="1:15">
      <c r="A11" s="43" t="s">
        <v>924</v>
      </c>
      <c r="B11" s="113">
        <v>9</v>
      </c>
      <c r="C11" s="65" t="str">
        <f>_xlfn.DISPIMG("ID_0CBF9193802644CAB0966EFF5519F696",1)</f>
        <v>=DISPIMG("ID_0CBF9193802644CAB0966EFF5519F696",1)</v>
      </c>
      <c r="D11" s="43" t="s">
        <v>1198</v>
      </c>
      <c r="E11" s="113" t="s">
        <v>1199</v>
      </c>
      <c r="F11" s="43" t="s">
        <v>1200</v>
      </c>
      <c r="G11" s="43" t="s">
        <v>1201</v>
      </c>
      <c r="H11" s="43" t="s">
        <v>1202</v>
      </c>
      <c r="I11" s="46">
        <v>746.9</v>
      </c>
      <c r="J11" s="46">
        <v>42.2</v>
      </c>
      <c r="K11" s="156">
        <v>50000</v>
      </c>
      <c r="L11" s="156">
        <v>75000</v>
      </c>
      <c r="M11" s="156">
        <v>80000</v>
      </c>
      <c r="N11" s="113" t="s">
        <v>1203</v>
      </c>
      <c r="O11" s="43" t="s">
        <v>573</v>
      </c>
    </row>
    <row r="12" s="1" customFormat="1" ht="40" customHeight="1" spans="1:15">
      <c r="A12" s="61" t="s">
        <v>924</v>
      </c>
      <c r="B12" s="61">
        <v>10</v>
      </c>
      <c r="C12" s="61" t="str">
        <f>_xlfn.DISPIMG("ID_730B0317D023468F91CFCE89195B0DCA",1)</f>
        <v>=DISPIMG("ID_730B0317D023468F91CFCE89195B0DCA",1)</v>
      </c>
      <c r="D12" s="61" t="s">
        <v>1204</v>
      </c>
      <c r="E12" s="64" t="s">
        <v>1205</v>
      </c>
      <c r="F12" s="64" t="s">
        <v>1206</v>
      </c>
      <c r="G12" s="64" t="s">
        <v>327</v>
      </c>
      <c r="H12" s="64" t="s">
        <v>1207</v>
      </c>
      <c r="I12" s="157">
        <v>309.9</v>
      </c>
      <c r="J12" s="157">
        <v>92.5</v>
      </c>
      <c r="K12" s="158">
        <v>35000</v>
      </c>
      <c r="L12" s="158">
        <v>45000</v>
      </c>
      <c r="M12" s="158">
        <v>52000</v>
      </c>
      <c r="N12" s="64" t="s">
        <v>1208</v>
      </c>
      <c r="O12" s="64" t="s">
        <v>1209</v>
      </c>
    </row>
    <row r="13" s="1" customFormat="1" ht="40" customHeight="1" spans="1:15">
      <c r="A13" s="43" t="s">
        <v>924</v>
      </c>
      <c r="B13" s="113">
        <v>11</v>
      </c>
      <c r="C13" s="65" t="str">
        <f>_xlfn.DISPIMG("ID_0B01EE3AE8F24C9EA8ABA8274A248C0D",1)</f>
        <v>=DISPIMG("ID_0B01EE3AE8F24C9EA8ABA8274A248C0D",1)</v>
      </c>
      <c r="D13" s="43" t="s">
        <v>1210</v>
      </c>
      <c r="E13" s="113" t="s">
        <v>1211</v>
      </c>
      <c r="F13" s="43" t="s">
        <v>1212</v>
      </c>
      <c r="G13" s="43" t="s">
        <v>1213</v>
      </c>
      <c r="H13" s="43" t="s">
        <v>1214</v>
      </c>
      <c r="I13" s="46">
        <v>239.6</v>
      </c>
      <c r="J13" s="46">
        <v>89.8</v>
      </c>
      <c r="K13" s="156">
        <v>72000</v>
      </c>
      <c r="L13" s="156">
        <v>78000</v>
      </c>
      <c r="M13" s="156">
        <v>85000</v>
      </c>
      <c r="N13" s="113" t="s">
        <v>1215</v>
      </c>
      <c r="O13" s="43" t="s">
        <v>1216</v>
      </c>
    </row>
    <row r="14" s="1" customFormat="1" ht="40" customHeight="1" spans="1:15">
      <c r="A14" s="61" t="s">
        <v>924</v>
      </c>
      <c r="B14" s="61">
        <v>12</v>
      </c>
      <c r="C14" s="61" t="str">
        <f>_xlfn.DISPIMG("ID_CE7BCC6A91624D2CB1729F2763EA041C",1)</f>
        <v>=DISPIMG("ID_CE7BCC6A91624D2CB1729F2763EA041C",1)</v>
      </c>
      <c r="D14" s="61" t="s">
        <v>1217</v>
      </c>
      <c r="E14" s="64" t="s">
        <v>1218</v>
      </c>
      <c r="F14" s="64">
        <v>3166364</v>
      </c>
      <c r="G14" s="64" t="s">
        <v>183</v>
      </c>
      <c r="H14" s="64" t="s">
        <v>1219</v>
      </c>
      <c r="I14" s="157">
        <v>154.7</v>
      </c>
      <c r="J14" s="157">
        <v>205.1</v>
      </c>
      <c r="K14" s="158">
        <v>40000</v>
      </c>
      <c r="L14" s="158">
        <v>58000</v>
      </c>
      <c r="M14" s="158">
        <v>75000</v>
      </c>
      <c r="N14" s="64" t="s">
        <v>1220</v>
      </c>
      <c r="O14" s="64" t="s">
        <v>573</v>
      </c>
    </row>
    <row r="15" s="1" customFormat="1" ht="40" customHeight="1" spans="1:15">
      <c r="A15" s="43" t="s">
        <v>924</v>
      </c>
      <c r="B15" s="113">
        <v>13</v>
      </c>
      <c r="C15" s="65" t="str">
        <f>_xlfn.DISPIMG("ID_9E9EC13F78C54133AB32AE14184AA937",1)</f>
        <v>=DISPIMG("ID_9E9EC13F78C54133AB32AE14184AA937",1)</v>
      </c>
      <c r="D15" s="43" t="s">
        <v>1221</v>
      </c>
      <c r="E15" s="113" t="s">
        <v>1222</v>
      </c>
      <c r="F15" s="43">
        <v>1308037212</v>
      </c>
      <c r="G15" s="43" t="s">
        <v>1223</v>
      </c>
      <c r="H15" s="43" t="s">
        <v>1224</v>
      </c>
      <c r="I15" s="46">
        <v>99.1</v>
      </c>
      <c r="J15" s="46" t="s">
        <v>40</v>
      </c>
      <c r="K15" s="156">
        <v>35000</v>
      </c>
      <c r="L15" s="156">
        <v>55000</v>
      </c>
      <c r="M15" s="156">
        <v>60000</v>
      </c>
      <c r="N15" s="113" t="s">
        <v>1225</v>
      </c>
      <c r="O15" s="43" t="s">
        <v>573</v>
      </c>
    </row>
    <row r="16" s="1" customFormat="1" ht="40" customHeight="1" spans="1:15">
      <c r="A16" s="61" t="s">
        <v>1226</v>
      </c>
      <c r="B16" s="61">
        <v>14</v>
      </c>
      <c r="C16" s="61" t="str">
        <f>_xlfn.DISPIMG("ID_63090E4CF6604B89B983FCA4F74AF984",1)</f>
        <v>=DISPIMG("ID_63090E4CF6604B89B983FCA4F74AF984",1)</v>
      </c>
      <c r="D16" s="61" t="s">
        <v>1227</v>
      </c>
      <c r="E16" s="64" t="s">
        <v>1228</v>
      </c>
      <c r="F16" s="64" t="s">
        <v>1229</v>
      </c>
      <c r="G16" s="64" t="s">
        <v>1226</v>
      </c>
      <c r="H16" s="64" t="s">
        <v>1230</v>
      </c>
      <c r="I16" s="157">
        <v>276.6</v>
      </c>
      <c r="J16" s="157">
        <v>131.9</v>
      </c>
      <c r="K16" s="158">
        <v>50000</v>
      </c>
      <c r="L16" s="158">
        <v>60000</v>
      </c>
      <c r="M16" s="158">
        <v>80000</v>
      </c>
      <c r="N16" s="64" t="s">
        <v>1231</v>
      </c>
      <c r="O16" s="64" t="s">
        <v>136</v>
      </c>
    </row>
    <row r="17" s="1" customFormat="1" ht="40" customHeight="1" spans="1:15">
      <c r="A17" s="43" t="s">
        <v>1232</v>
      </c>
      <c r="B17" s="113">
        <v>15</v>
      </c>
      <c r="C17" s="65" t="str">
        <f>_xlfn.DISPIMG("ID_1B3B087BDDEB46D0B42DC1E122EFFB85",1)</f>
        <v>=DISPIMG("ID_1B3B087BDDEB46D0B42DC1E122EFFB85",1)</v>
      </c>
      <c r="D17" s="43" t="s">
        <v>1233</v>
      </c>
      <c r="E17" s="113" t="s">
        <v>1234</v>
      </c>
      <c r="F17" s="43" t="s">
        <v>1235</v>
      </c>
      <c r="G17" s="43" t="s">
        <v>1236</v>
      </c>
      <c r="H17" s="43" t="s">
        <v>1237</v>
      </c>
      <c r="I17" s="46">
        <v>15.9</v>
      </c>
      <c r="J17" s="46">
        <v>96.4</v>
      </c>
      <c r="K17" s="156">
        <v>12800</v>
      </c>
      <c r="L17" s="156">
        <v>16800</v>
      </c>
      <c r="M17" s="156">
        <v>31800</v>
      </c>
      <c r="N17" s="113" t="s">
        <v>1238</v>
      </c>
      <c r="O17" s="43" t="s">
        <v>853</v>
      </c>
    </row>
    <row r="18" s="1" customFormat="1" ht="40" customHeight="1" spans="1:15">
      <c r="A18" s="61" t="s">
        <v>1239</v>
      </c>
      <c r="B18" s="61">
        <v>16</v>
      </c>
      <c r="C18" s="61" t="str">
        <f>_xlfn.DISPIMG("ID_AA2D2A5BCE8645FFB273E13C73B42B7C",1)</f>
        <v>=DISPIMG("ID_AA2D2A5BCE8645FFB273E13C73B42B7C",1)</v>
      </c>
      <c r="D18" s="61" t="s">
        <v>1240</v>
      </c>
      <c r="E18" s="64" t="s">
        <v>1241</v>
      </c>
      <c r="F18" s="64" t="s">
        <v>1242</v>
      </c>
      <c r="G18" s="64" t="s">
        <v>1243</v>
      </c>
      <c r="H18" s="64" t="s">
        <v>1244</v>
      </c>
      <c r="I18" s="157">
        <v>484.1</v>
      </c>
      <c r="J18" s="157">
        <v>212.2</v>
      </c>
      <c r="K18" s="158">
        <v>76000</v>
      </c>
      <c r="L18" s="158">
        <v>130000</v>
      </c>
      <c r="M18" s="158">
        <v>150000</v>
      </c>
      <c r="N18" s="64" t="s">
        <v>1245</v>
      </c>
      <c r="O18" s="64" t="s">
        <v>136</v>
      </c>
    </row>
    <row r="19" s="1" customFormat="1" ht="40" customHeight="1" spans="1:15">
      <c r="A19" s="43" t="s">
        <v>1239</v>
      </c>
      <c r="B19" s="113">
        <v>17</v>
      </c>
      <c r="C19" s="65" t="str">
        <f>_xlfn.DISPIMG("ID_3BDCE9C73163449FA640B821CC7AD18E",1)</f>
        <v>=DISPIMG("ID_3BDCE9C73163449FA640B821CC7AD18E",1)</v>
      </c>
      <c r="D19" s="43" t="s">
        <v>1246</v>
      </c>
      <c r="E19" s="113" t="s">
        <v>1247</v>
      </c>
      <c r="F19" s="43" t="s">
        <v>1248</v>
      </c>
      <c r="G19" s="43" t="s">
        <v>1243</v>
      </c>
      <c r="H19" s="43" t="s">
        <v>1249</v>
      </c>
      <c r="I19" s="46">
        <v>244.7</v>
      </c>
      <c r="J19" s="46">
        <v>31.1</v>
      </c>
      <c r="K19" s="156">
        <v>22000</v>
      </c>
      <c r="L19" s="156">
        <v>30000</v>
      </c>
      <c r="M19" s="156">
        <v>38000</v>
      </c>
      <c r="N19" s="113" t="s">
        <v>40</v>
      </c>
      <c r="O19" s="43" t="s">
        <v>943</v>
      </c>
    </row>
    <row r="20" s="1" customFormat="1" ht="40" customHeight="1" spans="1:15">
      <c r="A20" s="61" t="s">
        <v>1239</v>
      </c>
      <c r="B20" s="61">
        <v>18</v>
      </c>
      <c r="C20" s="61" t="str">
        <f>_xlfn.DISPIMG("ID_761495A2F924407682D5AF1846219854",1)</f>
        <v>=DISPIMG("ID_761495A2F924407682D5AF1846219854",1)</v>
      </c>
      <c r="D20" s="61" t="s">
        <v>1250</v>
      </c>
      <c r="E20" s="64" t="s">
        <v>1251</v>
      </c>
      <c r="F20" s="64">
        <v>1682586568</v>
      </c>
      <c r="G20" s="64" t="s">
        <v>1252</v>
      </c>
      <c r="H20" s="64" t="s">
        <v>1253</v>
      </c>
      <c r="I20" s="157">
        <v>121.4</v>
      </c>
      <c r="J20" s="157" t="s">
        <v>40</v>
      </c>
      <c r="K20" s="158">
        <v>20000</v>
      </c>
      <c r="L20" s="158">
        <v>30000</v>
      </c>
      <c r="M20" s="158">
        <v>40000</v>
      </c>
      <c r="N20" s="64" t="s">
        <v>1254</v>
      </c>
      <c r="O20" s="64" t="s">
        <v>562</v>
      </c>
    </row>
    <row r="21" s="1" customFormat="1" ht="40" customHeight="1" spans="1:15">
      <c r="A21" s="43" t="s">
        <v>1239</v>
      </c>
      <c r="B21" s="113">
        <v>19</v>
      </c>
      <c r="C21" s="65" t="str">
        <f>_xlfn.DISPIMG("ID_5C07DC249D664D0DAC4CBF35D4432619",1)</f>
        <v>=DISPIMG("ID_5C07DC249D664D0DAC4CBF35D4432619",1)</v>
      </c>
      <c r="D21" s="43" t="s">
        <v>1255</v>
      </c>
      <c r="E21" s="113" t="s">
        <v>1256</v>
      </c>
      <c r="F21" s="43" t="s">
        <v>1257</v>
      </c>
      <c r="G21" s="43" t="s">
        <v>1258</v>
      </c>
      <c r="H21" s="43" t="s">
        <v>1259</v>
      </c>
      <c r="I21" s="46">
        <v>289.1</v>
      </c>
      <c r="J21" s="46">
        <v>29.2</v>
      </c>
      <c r="K21" s="156">
        <v>31200</v>
      </c>
      <c r="L21" s="156">
        <v>39000</v>
      </c>
      <c r="M21" s="156">
        <v>54000</v>
      </c>
      <c r="N21" s="113" t="s">
        <v>1260</v>
      </c>
      <c r="O21" s="43" t="s">
        <v>943</v>
      </c>
    </row>
    <row r="22" s="1" customFormat="1" ht="40" customHeight="1" spans="1:15">
      <c r="A22" s="61" t="s">
        <v>1239</v>
      </c>
      <c r="B22" s="61">
        <v>20</v>
      </c>
      <c r="C22" s="61" t="str">
        <f>_xlfn.DISPIMG("ID_951FD68B9AF343ADBDA89E3CD33BBC08",1)</f>
        <v>=DISPIMG("ID_951FD68B9AF343ADBDA89E3CD33BBC08",1)</v>
      </c>
      <c r="D22" s="61" t="s">
        <v>1261</v>
      </c>
      <c r="E22" s="64" t="s">
        <v>1262</v>
      </c>
      <c r="F22" s="64" t="s">
        <v>1263</v>
      </c>
      <c r="G22" s="64" t="s">
        <v>1252</v>
      </c>
      <c r="H22" s="64" t="s">
        <v>1264</v>
      </c>
      <c r="I22" s="157">
        <v>172.1</v>
      </c>
      <c r="J22" s="157">
        <v>589.6</v>
      </c>
      <c r="K22" s="158">
        <v>28000</v>
      </c>
      <c r="L22" s="158">
        <v>35000</v>
      </c>
      <c r="M22" s="158">
        <v>42000</v>
      </c>
      <c r="N22" s="64" t="s">
        <v>40</v>
      </c>
      <c r="O22" s="64" t="s">
        <v>943</v>
      </c>
    </row>
    <row r="23" s="1" customFormat="1" ht="40" customHeight="1" spans="1:15">
      <c r="A23" s="43" t="s">
        <v>1239</v>
      </c>
      <c r="B23" s="113">
        <v>21</v>
      </c>
      <c r="C23" s="65" t="str">
        <f>_xlfn.DISPIMG("ID_5FBD3AADE5A8499AAD44448BAFF3AB1B",1)</f>
        <v>=DISPIMG("ID_5FBD3AADE5A8499AAD44448BAFF3AB1B",1)</v>
      </c>
      <c r="D23" s="43" t="s">
        <v>1265</v>
      </c>
      <c r="E23" s="113" t="s">
        <v>1266</v>
      </c>
      <c r="F23" s="43" t="s">
        <v>1267</v>
      </c>
      <c r="G23" s="43" t="s">
        <v>1252</v>
      </c>
      <c r="H23" s="43" t="s">
        <v>1268</v>
      </c>
      <c r="I23" s="46">
        <v>71.9</v>
      </c>
      <c r="J23" s="46">
        <v>25.7</v>
      </c>
      <c r="K23" s="156">
        <v>15000</v>
      </c>
      <c r="L23" s="156">
        <v>22000</v>
      </c>
      <c r="M23" s="156">
        <v>28000</v>
      </c>
      <c r="N23" s="113" t="s">
        <v>40</v>
      </c>
      <c r="O23" s="43" t="s">
        <v>943</v>
      </c>
    </row>
    <row r="24" s="1" customFormat="1" ht="40" customHeight="1" spans="1:15">
      <c r="A24" s="61" t="s">
        <v>631</v>
      </c>
      <c r="B24" s="61">
        <v>22</v>
      </c>
      <c r="C24" s="61" t="str">
        <f>_xlfn.DISPIMG("ID_C5E246FCA791438196769AD06E435DBF",1)</f>
        <v>=DISPIMG("ID_C5E246FCA791438196769AD06E435DBF",1)</v>
      </c>
      <c r="D24" s="61" t="s">
        <v>1269</v>
      </c>
      <c r="E24" s="64" t="s">
        <v>1270</v>
      </c>
      <c r="F24" s="64" t="s">
        <v>1271</v>
      </c>
      <c r="G24" s="64" t="s">
        <v>631</v>
      </c>
      <c r="H24" s="64" t="s">
        <v>1272</v>
      </c>
      <c r="I24" s="157">
        <v>336.5</v>
      </c>
      <c r="J24" s="157">
        <v>52.2</v>
      </c>
      <c r="K24" s="158">
        <v>26000</v>
      </c>
      <c r="L24" s="158">
        <v>38000</v>
      </c>
      <c r="M24" s="158">
        <v>45000</v>
      </c>
      <c r="N24" s="64" t="s">
        <v>40</v>
      </c>
      <c r="O24" s="64" t="s">
        <v>45</v>
      </c>
    </row>
    <row r="25" s="1" customFormat="1" ht="40" customHeight="1" spans="1:15">
      <c r="A25" s="43" t="s">
        <v>631</v>
      </c>
      <c r="B25" s="113">
        <v>23</v>
      </c>
      <c r="C25" s="65" t="str">
        <f>_xlfn.DISPIMG("ID_4390B0010FEE44C9B5A3D6C8B9DE9FC1",1)</f>
        <v>=DISPIMG("ID_4390B0010FEE44C9B5A3D6C8B9DE9FC1",1)</v>
      </c>
      <c r="D25" s="43" t="s">
        <v>1273</v>
      </c>
      <c r="E25" s="113" t="s">
        <v>1274</v>
      </c>
      <c r="F25" s="43" t="s">
        <v>1275</v>
      </c>
      <c r="G25" s="43" t="s">
        <v>117</v>
      </c>
      <c r="H25" s="43" t="s">
        <v>1276</v>
      </c>
      <c r="I25" s="46">
        <v>222</v>
      </c>
      <c r="J25" s="46">
        <v>275.1</v>
      </c>
      <c r="K25" s="156">
        <v>60000</v>
      </c>
      <c r="L25" s="156">
        <v>71000</v>
      </c>
      <c r="M25" s="156">
        <v>84000</v>
      </c>
      <c r="N25" s="113" t="s">
        <v>1277</v>
      </c>
      <c r="O25" s="43" t="s">
        <v>45</v>
      </c>
    </row>
    <row r="26" s="1" customFormat="1" ht="40" customHeight="1" spans="1:15">
      <c r="A26" s="159" t="s">
        <v>435</v>
      </c>
      <c r="B26" s="159">
        <v>24</v>
      </c>
      <c r="C26" s="159" t="str">
        <f>_xlfn.DISPIMG("ID_D42E536C5EDA4EDD8A56237D9040927D",1)</f>
        <v>=DISPIMG("ID_D42E536C5EDA4EDD8A56237D9040927D",1)</v>
      </c>
      <c r="D26" s="159" t="s">
        <v>1278</v>
      </c>
      <c r="E26" s="160" t="s">
        <v>1279</v>
      </c>
      <c r="F26" s="160" t="s">
        <v>1280</v>
      </c>
      <c r="G26" s="160" t="s">
        <v>1281</v>
      </c>
      <c r="H26" s="160" t="s">
        <v>1282</v>
      </c>
      <c r="I26" s="161">
        <v>226.8</v>
      </c>
      <c r="J26" s="161">
        <v>31.1</v>
      </c>
      <c r="K26" s="162">
        <v>29000</v>
      </c>
      <c r="L26" s="162">
        <v>35000</v>
      </c>
      <c r="M26" s="162">
        <v>45000</v>
      </c>
      <c r="N26" s="160" t="s">
        <v>1283</v>
      </c>
      <c r="O26" s="160" t="s">
        <v>1284</v>
      </c>
    </row>
    <row r="27" s="1" customFormat="1" spans="1:15">
      <c r="D27" s="163"/>
      <c r="N27" s="4"/>
    </row>
    <row r="28" s="1" customFormat="1" spans="1:15">
      <c r="D28" s="163"/>
      <c r="N28" s="4"/>
    </row>
  </sheetData>
  <autoFilter xmlns:etc="http://www.wps.cn/officeDocument/2017/etCustomData" ref="A2:O26" etc:filterBottomFollowUsedRange="0">
    <extLst/>
  </autoFilter>
  <mergeCells count="1">
    <mergeCell ref="A1:O1"/>
  </mergeCells>
  <hyperlinks>
    <hyperlink ref="H18" r:id="rId2" display="https://v.douyin.com/LWd4PfQ/"/>
    <hyperlink ref="H12" r:id="rId3" display="https://v.douyin.com/eYqMACg/"/>
    <hyperlink ref="H20" r:id="rId4" display="https://v.douyin.com/Jn8Fe8S/"/>
    <hyperlink ref="H3" r:id="rId5" display="https://v.douyin.com/M3CUn1t/"/>
    <hyperlink ref="H11" r:id="rId6" display="https://v.douyin.com/6QeCELJ/"/>
    <hyperlink ref="H5" r:id="rId7" display="https://v.douyin.com/F52xKBj/"/>
    <hyperlink ref="H21" r:id="rId8" display="https://v.douyin.com/6nnu3ep/"/>
    <hyperlink ref="H13" r:id="rId9" display="https://v.douyin.com/iJsMgCaF/"/>
    <hyperlink ref="H14" r:id="rId10" display="https://v.douyin.com/ie2bqhFJ/"/>
    <hyperlink ref="H26" r:id="rId11" display="https://v.douyin.com/A8oV6Rg/"/>
    <hyperlink ref="H4" r:id="rId12" display="https://v.douyin.com/EoRCNC/"/>
    <hyperlink ref="H9" r:id="rId13" display="https://v.douyin.com/eVyoRpH/"/>
    <hyperlink ref="H15" r:id="rId14" display="https://v.douyin.com/eVfJN5H/"/>
    <hyperlink ref="H19" r:id="rId15" display="https://v.douyin.com/iMnTEUEQ/ 5"/>
    <hyperlink ref="H22" r:id="rId16" display="https://v.douyin.com/iSkaX3wK/ 7@4.com"/>
    <hyperlink ref="H17" r:id="rId17" display="https://v.douyin.com/iR6RY8xk/"/>
    <hyperlink ref="H6" r:id="rId18" display="https://v.douyin.com/bmOwXBxZVL0/"/>
    <hyperlink ref="H25" r:id="rId19" display="https://v.douyin.com/qtWVvJiFOXw/"/>
    <hyperlink ref="H8" r:id="rId20" display="https://v.douyin.com/vG6xXKcEm1M/"/>
    <hyperlink ref="H10" r:id="rId21" display="https://v.douyin.com/8fK-mzMbqx4/ 9@3.com"/>
    <hyperlink ref="H23" r:id="rId22" display="https://v.douyin.com/Rxq1VX9/"/>
    <hyperlink ref="H16" r:id="rId23" display="https://v.douyin.com/b6GOMqiezVg/"/>
    <hyperlink ref="H7" r:id="rId24" display="https://v.douyin.com/i5WxXkUV/"/>
    <hyperlink ref="H24" r:id="rId25" display="https://v.douyin.com/iM2BnUWc/" tooltip="https://v.douyin.com/iM2BnUWc/"/>
  </hyperlinks>
  <pageMargins left="0.699305555555556" right="0.699305555555556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O59"/>
  <sheetViews>
    <sheetView workbookViewId="0">
      <pane xSplit="5" ySplit="2" topLeftCell="F3" activePane="bottomRight" state="frozen"/>
      <selection/>
      <selection pane="topRight"/>
      <selection pane="bottomLeft"/>
      <selection pane="bottomRight" activeCell="F16" sqref="F16"/>
    </sheetView>
  </sheetViews>
  <sheetFormatPr defaultColWidth="9.81666666666667" defaultRowHeight="14.25"/>
  <cols>
    <col min="1" max="3" width="7.625" style="96" customWidth="1"/>
    <col min="4" max="4" width="14.7583333333333" style="96" customWidth="1"/>
    <col min="5" max="5" width="12.8833333333333" style="96" customWidth="1"/>
    <col min="6" max="6" width="30.625" style="96" customWidth="1"/>
    <col min="7" max="7" width="15.625" style="97" customWidth="1"/>
    <col min="8" max="9" width="9" style="98" customWidth="1"/>
    <col min="10" max="10" width="9" style="96" customWidth="1"/>
    <col min="11" max="13" width="18.2583333333333" style="96" customWidth="1"/>
    <col min="14" max="15" width="25.2583333333333" style="96" customWidth="1"/>
    <col min="16" max="16369" width="9" style="96" customWidth="1"/>
    <col min="16370" max="16375" width="9.64166666666667" style="96"/>
    <col min="16376" max="16384" width="9.81666666666667" style="96"/>
  </cols>
  <sheetData>
    <row r="1" s="92" customFormat="1" ht="70" customHeight="1" spans="1:15">
      <c r="A1" s="99" t="s">
        <v>1285</v>
      </c>
      <c r="B1" s="99"/>
      <c r="C1" s="99"/>
      <c r="D1" s="99"/>
      <c r="E1" s="99"/>
      <c r="F1" s="99"/>
      <c r="G1" s="99"/>
      <c r="H1" s="100"/>
      <c r="I1" s="100"/>
      <c r="J1" s="99"/>
      <c r="K1" s="99"/>
      <c r="L1" s="99"/>
      <c r="M1" s="99"/>
      <c r="N1" s="99"/>
      <c r="O1" s="101"/>
    </row>
    <row r="2" s="93" customFormat="1" ht="30" customHeight="1" spans="1:15">
      <c r="A2" s="102" t="s">
        <v>7</v>
      </c>
      <c r="B2" s="102" t="s">
        <v>8</v>
      </c>
      <c r="C2" s="102" t="s">
        <v>9</v>
      </c>
      <c r="D2" s="102" t="s">
        <v>1286</v>
      </c>
      <c r="E2" s="102" t="s">
        <v>1287</v>
      </c>
      <c r="F2" s="102" t="s">
        <v>1288</v>
      </c>
      <c r="G2" s="103" t="s">
        <v>1148</v>
      </c>
      <c r="H2" s="104" t="s">
        <v>1289</v>
      </c>
      <c r="I2" s="104" t="s">
        <v>1290</v>
      </c>
      <c r="J2" s="102" t="s">
        <v>1291</v>
      </c>
      <c r="K2" s="102" t="s">
        <v>1292</v>
      </c>
      <c r="L2" s="102" t="s">
        <v>1293</v>
      </c>
      <c r="M2" s="102" t="s">
        <v>1294</v>
      </c>
      <c r="N2" s="102" t="s">
        <v>1295</v>
      </c>
      <c r="O2" s="102" t="s">
        <v>1296</v>
      </c>
    </row>
    <row r="3" s="94" customFormat="1" ht="25" customHeight="1" spans="1:15">
      <c r="A3" s="105"/>
      <c r="B3" s="105"/>
      <c r="C3" s="105"/>
      <c r="D3" s="105"/>
      <c r="E3" s="105"/>
      <c r="F3" s="105"/>
      <c r="G3" s="105" t="s">
        <v>1297</v>
      </c>
      <c r="H3" s="106"/>
      <c r="I3" s="106"/>
      <c r="J3" s="105"/>
      <c r="K3" s="105"/>
      <c r="L3" s="105"/>
      <c r="M3" s="105"/>
      <c r="N3" s="105"/>
      <c r="O3" s="105"/>
    </row>
    <row r="4" s="95" customFormat="1" ht="40" customHeight="1" spans="1:15">
      <c r="A4" s="46">
        <v>1</v>
      </c>
      <c r="B4" s="107"/>
      <c r="C4" s="46" t="str">
        <f>_xlfn.DISPIMG("ID_A6675DD95B294FC2ACC30F776E4AB778",1)</f>
        <v>=DISPIMG("ID_A6675DD95B294FC2ACC30F776E4AB778",1)</v>
      </c>
      <c r="D4" s="46" t="s">
        <v>731</v>
      </c>
      <c r="E4" s="46">
        <v>981277009</v>
      </c>
      <c r="F4" s="108" t="s">
        <v>1298</v>
      </c>
      <c r="G4" s="108" t="s">
        <v>1299</v>
      </c>
      <c r="H4" s="109">
        <v>41.6</v>
      </c>
      <c r="I4" s="109">
        <v>1141.5</v>
      </c>
      <c r="J4" s="110" t="s">
        <v>562</v>
      </c>
      <c r="K4" s="111">
        <v>45000</v>
      </c>
      <c r="L4" s="111">
        <v>60000</v>
      </c>
      <c r="M4" s="112" t="s">
        <v>1300</v>
      </c>
      <c r="N4" s="113" t="s">
        <v>1301</v>
      </c>
      <c r="O4" s="114" t="s">
        <v>1302</v>
      </c>
    </row>
    <row r="5" s="95" customFormat="1" ht="40" customHeight="1" spans="1:15">
      <c r="A5" s="40">
        <v>2</v>
      </c>
      <c r="B5" s="115"/>
      <c r="C5" t="str">
        <f>_xlfn.DISPIMG("ID_E087719546474FE096C56135EBBC5D5A",1)</f>
        <v>=DISPIMG("ID_E087719546474FE096C56135EBBC5D5A",1)</v>
      </c>
      <c r="D5" s="40" t="s">
        <v>618</v>
      </c>
      <c r="E5" s="40" t="s">
        <v>1303</v>
      </c>
      <c r="F5" s="116" t="s">
        <v>1304</v>
      </c>
      <c r="G5" s="116" t="s">
        <v>1305</v>
      </c>
      <c r="H5" s="117">
        <v>41.1</v>
      </c>
      <c r="I5" s="117">
        <v>419.6</v>
      </c>
      <c r="J5" s="118" t="s">
        <v>45</v>
      </c>
      <c r="K5" s="119">
        <v>38000</v>
      </c>
      <c r="L5" s="119">
        <v>58000</v>
      </c>
      <c r="M5" s="119" t="s">
        <v>40</v>
      </c>
      <c r="N5" s="64" t="s">
        <v>1306</v>
      </c>
      <c r="O5" s="120" t="s">
        <v>1307</v>
      </c>
    </row>
    <row r="6" s="95" customFormat="1" ht="40" customHeight="1" spans="1:15">
      <c r="A6" s="46">
        <v>3</v>
      </c>
      <c r="B6" s="107"/>
      <c r="C6" s="46" t="str">
        <f>_xlfn.DISPIMG("ID_2D5765BFE8F6423B87A32A48EFC80740",1)</f>
        <v>=DISPIMG("ID_2D5765BFE8F6423B87A32A48EFC80740",1)</v>
      </c>
      <c r="D6" s="108" t="s">
        <v>1014</v>
      </c>
      <c r="E6" s="46">
        <v>264471123</v>
      </c>
      <c r="F6" s="108" t="s">
        <v>1308</v>
      </c>
      <c r="G6" s="108" t="s">
        <v>1309</v>
      </c>
      <c r="H6" s="109">
        <v>22.4</v>
      </c>
      <c r="I6" s="109">
        <v>115.9</v>
      </c>
      <c r="J6" s="110" t="s">
        <v>775</v>
      </c>
      <c r="K6" s="111">
        <v>20000</v>
      </c>
      <c r="L6" s="111">
        <v>30000</v>
      </c>
      <c r="M6" s="112" t="s">
        <v>1310</v>
      </c>
      <c r="N6" s="113" t="s">
        <v>1311</v>
      </c>
      <c r="O6" s="114" t="s">
        <v>1312</v>
      </c>
    </row>
    <row r="7" s="95" customFormat="1" ht="40" customHeight="1" spans="1:15">
      <c r="A7" s="40">
        <v>4</v>
      </c>
      <c r="B7" s="115"/>
      <c r="C7" s="40" t="str">
        <f>_xlfn.DISPIMG("ID_A901C43D8D0844FA863B63A9A0F6D4AF",1)</f>
        <v>=DISPIMG("ID_A901C43D8D0844FA863B63A9A0F6D4AF",1)</v>
      </c>
      <c r="D7" s="40" t="s">
        <v>1313</v>
      </c>
      <c r="E7" s="40">
        <v>800230666</v>
      </c>
      <c r="F7" s="116" t="s">
        <v>1314</v>
      </c>
      <c r="G7" s="116" t="s">
        <v>1315</v>
      </c>
      <c r="H7" s="117">
        <v>3.1</v>
      </c>
      <c r="I7" s="117">
        <v>29.6</v>
      </c>
      <c r="J7" s="118" t="s">
        <v>594</v>
      </c>
      <c r="K7" s="119">
        <v>4200</v>
      </c>
      <c r="L7" s="119">
        <v>6800</v>
      </c>
      <c r="M7" s="119" t="s">
        <v>1316</v>
      </c>
      <c r="N7" s="64" t="s">
        <v>1317</v>
      </c>
      <c r="O7" s="120" t="s">
        <v>1318</v>
      </c>
    </row>
    <row r="8" s="95" customFormat="1" ht="40" customHeight="1" spans="1:15">
      <c r="A8" s="46">
        <v>5</v>
      </c>
      <c r="B8" s="107"/>
      <c r="C8" s="46" t="str">
        <f>_xlfn.DISPIMG("ID_4A55488DBDAD49579EB233663CB69660",1)</f>
        <v>=DISPIMG("ID_4A55488DBDAD49579EB233663CB69660",1)</v>
      </c>
      <c r="D8" s="46" t="s">
        <v>1319</v>
      </c>
      <c r="E8" s="46">
        <v>268654630</v>
      </c>
      <c r="F8" s="108" t="s">
        <v>1320</v>
      </c>
      <c r="G8" s="108" t="s">
        <v>1321</v>
      </c>
      <c r="H8" s="109">
        <v>21</v>
      </c>
      <c r="I8" s="109">
        <v>180.3</v>
      </c>
      <c r="J8" s="110" t="s">
        <v>45</v>
      </c>
      <c r="K8" s="111">
        <v>15000</v>
      </c>
      <c r="L8" s="111">
        <v>22000</v>
      </c>
      <c r="M8" s="112" t="s">
        <v>1322</v>
      </c>
      <c r="N8" s="113" t="s">
        <v>1323</v>
      </c>
      <c r="O8" s="114" t="s">
        <v>1324</v>
      </c>
    </row>
    <row r="9" s="95" customFormat="1" ht="40" customHeight="1" spans="1:15">
      <c r="A9" s="40">
        <v>6</v>
      </c>
      <c r="B9" s="115"/>
      <c r="C9" t="str">
        <f>_xlfn.DISPIMG("ID_86D753D5DE2B472CAA26ACB3512EADAF",1)</f>
        <v>=DISPIMG("ID_86D753D5DE2B472CAA26ACB3512EADAF",1)</v>
      </c>
      <c r="D9" s="40" t="s">
        <v>180</v>
      </c>
      <c r="E9" s="40">
        <v>116774378</v>
      </c>
      <c r="F9" s="116" t="s">
        <v>1325</v>
      </c>
      <c r="G9" s="116" t="s">
        <v>1326</v>
      </c>
      <c r="H9" s="117">
        <v>11</v>
      </c>
      <c r="I9" s="117">
        <v>85.8</v>
      </c>
      <c r="J9" s="118" t="s">
        <v>45</v>
      </c>
      <c r="K9" s="119">
        <v>4200</v>
      </c>
      <c r="L9" s="119">
        <v>6800</v>
      </c>
      <c r="M9" s="119" t="s">
        <v>40</v>
      </c>
      <c r="N9" s="64" t="s">
        <v>1327</v>
      </c>
      <c r="O9" s="120" t="s">
        <v>1328</v>
      </c>
    </row>
    <row r="10" s="95" customFormat="1" ht="40" customHeight="1" spans="1:15">
      <c r="A10" s="46">
        <v>7</v>
      </c>
      <c r="B10" s="107"/>
      <c r="C10" s="46" t="str">
        <f>_xlfn.DISPIMG("ID_D14B63E281A8495D87B7770FA7472B19",1)</f>
        <v>=DISPIMG("ID_D14B63E281A8495D87B7770FA7472B19",1)</v>
      </c>
      <c r="D10" s="46" t="s">
        <v>1329</v>
      </c>
      <c r="E10" s="46" t="s">
        <v>1330</v>
      </c>
      <c r="F10" s="108" t="s">
        <v>1331</v>
      </c>
      <c r="G10" s="108" t="s">
        <v>1332</v>
      </c>
      <c r="H10" s="109">
        <v>47.5</v>
      </c>
      <c r="I10" s="109">
        <v>90.7</v>
      </c>
      <c r="J10" s="110" t="s">
        <v>943</v>
      </c>
      <c r="K10" s="111">
        <v>35000</v>
      </c>
      <c r="L10" s="111">
        <v>39000</v>
      </c>
      <c r="M10" s="112" t="s">
        <v>40</v>
      </c>
      <c r="N10" s="113" t="s">
        <v>1333</v>
      </c>
      <c r="O10" s="114" t="s">
        <v>1334</v>
      </c>
    </row>
    <row r="11" s="94" customFormat="1" ht="25" customHeight="1" spans="1:15">
      <c r="A11" s="121"/>
      <c r="B11" s="121"/>
      <c r="C11" s="121"/>
      <c r="D11" s="121"/>
      <c r="E11" s="121"/>
      <c r="F11" s="121"/>
      <c r="G11" s="122" t="s">
        <v>1335</v>
      </c>
      <c r="H11" s="123"/>
      <c r="I11" s="123"/>
      <c r="J11" s="121"/>
      <c r="K11" s="121"/>
      <c r="L11" s="121"/>
      <c r="M11" s="121"/>
      <c r="N11" s="121"/>
      <c r="O11" s="121"/>
    </row>
    <row r="12" s="95" customFormat="1" ht="40" customHeight="1" spans="1:15">
      <c r="A12" s="46">
        <v>8</v>
      </c>
      <c r="B12" s="107"/>
      <c r="C12" s="46" t="str">
        <f>_xlfn.DISPIMG("ID_612B44CB1D6848CBB0234577403521E6",1)</f>
        <v>=DISPIMG("ID_612B44CB1D6848CBB0234577403521E6",1)</v>
      </c>
      <c r="D12" s="46" t="s">
        <v>820</v>
      </c>
      <c r="E12" s="108" t="s">
        <v>1336</v>
      </c>
      <c r="F12" s="108" t="s">
        <v>1337</v>
      </c>
      <c r="G12" s="46" t="s">
        <v>1338</v>
      </c>
      <c r="H12" s="109">
        <v>18.7</v>
      </c>
      <c r="I12" s="109">
        <v>415.9</v>
      </c>
      <c r="J12" s="110" t="s">
        <v>45</v>
      </c>
      <c r="K12" s="111">
        <v>25000</v>
      </c>
      <c r="L12" s="111">
        <v>35000</v>
      </c>
      <c r="M12" s="111" t="s">
        <v>40</v>
      </c>
      <c r="N12" s="113" t="s">
        <v>1339</v>
      </c>
      <c r="O12" s="114" t="s">
        <v>1340</v>
      </c>
    </row>
    <row r="13" s="95" customFormat="1" ht="40" customHeight="1" spans="1:15">
      <c r="A13" s="17">
        <v>9</v>
      </c>
      <c r="B13" s="124"/>
      <c r="C13" s="22" t="str">
        <f>_xlfn.DISPIMG("ID_30AC8A19BCA44ACEB2336397680E6576",1)</f>
        <v>=DISPIMG("ID_30AC8A19BCA44ACEB2336397680E6576",1)</v>
      </c>
      <c r="D13" s="17" t="s">
        <v>944</v>
      </c>
      <c r="E13" s="40">
        <v>1044861323</v>
      </c>
      <c r="F13" s="116" t="s">
        <v>1341</v>
      </c>
      <c r="G13" s="116" t="s">
        <v>1342</v>
      </c>
      <c r="H13" s="117">
        <v>7.9</v>
      </c>
      <c r="I13" s="117">
        <v>64.2</v>
      </c>
      <c r="J13" s="118" t="s">
        <v>45</v>
      </c>
      <c r="K13" s="119">
        <v>12000</v>
      </c>
      <c r="L13" s="119">
        <v>16000</v>
      </c>
      <c r="M13" s="125" t="s">
        <v>40</v>
      </c>
      <c r="N13" s="126" t="s">
        <v>1343</v>
      </c>
      <c r="O13" s="126" t="s">
        <v>1344</v>
      </c>
    </row>
    <row r="14" s="95" customFormat="1" ht="40" customHeight="1" spans="1:15">
      <c r="A14" s="46">
        <v>10</v>
      </c>
      <c r="B14" s="107"/>
      <c r="C14" s="46" t="str">
        <f>_xlfn.DISPIMG("ID_BDFF3AF9C2294AA489B20ABC23BFEC80",1)</f>
        <v>=DISPIMG("ID_BDFF3AF9C2294AA489B20ABC23BFEC80",1)</v>
      </c>
      <c r="D14" s="46" t="s">
        <v>247</v>
      </c>
      <c r="E14" s="108" t="s">
        <v>1345</v>
      </c>
      <c r="F14" s="108" t="s">
        <v>1346</v>
      </c>
      <c r="G14" s="46" t="s">
        <v>1347</v>
      </c>
      <c r="H14" s="109">
        <v>191.4</v>
      </c>
      <c r="I14" s="109">
        <v>1557.3</v>
      </c>
      <c r="J14" s="110" t="s">
        <v>45</v>
      </c>
      <c r="K14" s="111">
        <v>35000</v>
      </c>
      <c r="L14" s="111">
        <v>60000</v>
      </c>
      <c r="M14" s="111" t="s">
        <v>1348</v>
      </c>
      <c r="N14" s="113" t="s">
        <v>1349</v>
      </c>
      <c r="O14" s="114" t="s">
        <v>1350</v>
      </c>
    </row>
    <row r="15" s="95" customFormat="1" ht="40" customHeight="1" spans="1:15">
      <c r="A15" s="17">
        <v>11</v>
      </c>
      <c r="B15" s="124"/>
      <c r="C15" s="22" t="str">
        <f>_xlfn.DISPIMG("ID_9D4BCA200A3A4EB8A0D73854126E75BE",1)</f>
        <v>=DISPIMG("ID_9D4BCA200A3A4EB8A0D73854126E75BE",1)</v>
      </c>
      <c r="D15" s="17" t="s">
        <v>776</v>
      </c>
      <c r="E15" s="40">
        <v>5021647152</v>
      </c>
      <c r="F15" s="116" t="s">
        <v>1351</v>
      </c>
      <c r="G15" s="116" t="s">
        <v>1352</v>
      </c>
      <c r="H15" s="117">
        <v>201.3</v>
      </c>
      <c r="I15" s="117">
        <v>3610.1</v>
      </c>
      <c r="J15" s="118" t="s">
        <v>45</v>
      </c>
      <c r="K15" s="119">
        <v>30000</v>
      </c>
      <c r="L15" s="119">
        <v>110000</v>
      </c>
      <c r="M15" s="125" t="s">
        <v>40</v>
      </c>
      <c r="N15" s="126" t="s">
        <v>1353</v>
      </c>
      <c r="O15" s="126" t="s">
        <v>1354</v>
      </c>
    </row>
    <row r="16" s="95" customFormat="1" ht="40" customHeight="1" spans="1:15">
      <c r="A16" s="46">
        <v>12</v>
      </c>
      <c r="B16" s="107"/>
      <c r="C16" s="46" t="str">
        <f>_xlfn.DISPIMG("ID_1D9773756B9F4E2497E24C113846755A",1)</f>
        <v>=DISPIMG("ID_1D9773756B9F4E2497E24C113846755A",1)</v>
      </c>
      <c r="D16" s="46" t="s">
        <v>303</v>
      </c>
      <c r="E16" s="108">
        <v>9498775645</v>
      </c>
      <c r="F16" s="108" t="s">
        <v>1355</v>
      </c>
      <c r="G16" s="46" t="s">
        <v>1356</v>
      </c>
      <c r="H16" s="109">
        <v>97.5</v>
      </c>
      <c r="I16" s="109">
        <v>1324.9</v>
      </c>
      <c r="J16" s="110" t="s">
        <v>45</v>
      </c>
      <c r="K16" s="111">
        <v>30000</v>
      </c>
      <c r="L16" s="111">
        <v>48000</v>
      </c>
      <c r="M16" s="111" t="s">
        <v>1357</v>
      </c>
      <c r="N16" s="113" t="s">
        <v>1358</v>
      </c>
      <c r="O16" s="114" t="s">
        <v>1359</v>
      </c>
    </row>
    <row r="17" s="95" customFormat="1" ht="40" customHeight="1" spans="1:15">
      <c r="A17" s="17">
        <v>13</v>
      </c>
      <c r="B17" s="124"/>
      <c r="C17" s="22" t="str">
        <f>_xlfn.DISPIMG("ID_5767A78C5061489A86E64A0AA201684F",1)</f>
        <v>=DISPIMG("ID_5767A78C5061489A86E64A0AA201684F",1)</v>
      </c>
      <c r="D17" s="17" t="s">
        <v>1360</v>
      </c>
      <c r="E17" s="40">
        <v>734382264</v>
      </c>
      <c r="F17" s="116" t="s">
        <v>1361</v>
      </c>
      <c r="G17" s="116" t="s">
        <v>1362</v>
      </c>
      <c r="H17" s="117">
        <v>47.5</v>
      </c>
      <c r="I17" s="117">
        <v>376.8</v>
      </c>
      <c r="J17" s="118" t="s">
        <v>45</v>
      </c>
      <c r="K17" s="119">
        <v>25000</v>
      </c>
      <c r="L17" s="119">
        <v>45000</v>
      </c>
      <c r="M17" s="125" t="s">
        <v>40</v>
      </c>
      <c r="N17" s="126" t="s">
        <v>1363</v>
      </c>
      <c r="O17" s="126" t="s">
        <v>1364</v>
      </c>
    </row>
    <row r="18" s="95" customFormat="1" ht="40" customHeight="1" spans="1:15">
      <c r="A18" s="46">
        <v>14</v>
      </c>
      <c r="B18" s="107"/>
      <c r="C18" s="46" t="str">
        <f>_xlfn.DISPIMG("ID_1F6039D1EC9A4ED1B5C8363E408EB7BE",1)</f>
        <v>=DISPIMG("ID_1F6039D1EC9A4ED1B5C8363E408EB7BE",1)</v>
      </c>
      <c r="D18" s="46" t="s">
        <v>258</v>
      </c>
      <c r="E18" s="108">
        <v>1036271988</v>
      </c>
      <c r="F18" s="108" t="s">
        <v>1365</v>
      </c>
      <c r="G18" s="46" t="s">
        <v>1366</v>
      </c>
      <c r="H18" s="109">
        <v>95.5</v>
      </c>
      <c r="I18" s="109">
        <v>685.8</v>
      </c>
      <c r="J18" s="110" t="s">
        <v>45</v>
      </c>
      <c r="K18" s="111">
        <v>30000</v>
      </c>
      <c r="L18" s="111">
        <v>60000</v>
      </c>
      <c r="M18" s="111" t="s">
        <v>1357</v>
      </c>
      <c r="N18" s="113" t="s">
        <v>1367</v>
      </c>
      <c r="O18" s="114" t="s">
        <v>1368</v>
      </c>
    </row>
    <row r="19" s="95" customFormat="1" ht="40" customHeight="1" spans="1:15">
      <c r="A19" s="17">
        <v>15</v>
      </c>
      <c r="B19" s="124"/>
      <c r="C19" s="22" t="str">
        <f>_xlfn.DISPIMG("ID_8565464ED9FB4C05BB0779C94622A42F",1)</f>
        <v>=DISPIMG("ID_8565464ED9FB4C05BB0779C94622A42F",1)</v>
      </c>
      <c r="D19" s="17" t="s">
        <v>1369</v>
      </c>
      <c r="E19" s="40">
        <v>2683818208</v>
      </c>
      <c r="F19" s="116" t="s">
        <v>1370</v>
      </c>
      <c r="G19" s="116" t="s">
        <v>1371</v>
      </c>
      <c r="H19" s="117">
        <v>15.4</v>
      </c>
      <c r="I19" s="117">
        <v>116.7</v>
      </c>
      <c r="J19" s="118" t="s">
        <v>1372</v>
      </c>
      <c r="K19" s="119">
        <v>9944</v>
      </c>
      <c r="L19" s="119">
        <v>17493</v>
      </c>
      <c r="M19" s="125" t="s">
        <v>40</v>
      </c>
      <c r="N19" s="126" t="s">
        <v>1373</v>
      </c>
      <c r="O19" s="126" t="s">
        <v>1374</v>
      </c>
    </row>
    <row r="20" s="95" customFormat="1" ht="40" customHeight="1" spans="1:15">
      <c r="A20" s="46">
        <v>16</v>
      </c>
      <c r="B20" s="107"/>
      <c r="C20" s="46" t="str">
        <f>_xlfn.DISPIMG("ID_28AF013E9BC74A9BB281DFE6F191EB91",1)</f>
        <v>=DISPIMG("ID_28AF013E9BC74A9BB281DFE6F191EB91",1)</v>
      </c>
      <c r="D20" s="46" t="s">
        <v>1375</v>
      </c>
      <c r="E20" s="108">
        <v>1054889287</v>
      </c>
      <c r="F20" s="108" t="s">
        <v>1376</v>
      </c>
      <c r="G20" s="46" t="s">
        <v>1377</v>
      </c>
      <c r="H20" s="109">
        <v>15.3</v>
      </c>
      <c r="I20" s="109">
        <v>96.6</v>
      </c>
      <c r="J20" s="110" t="s">
        <v>45</v>
      </c>
      <c r="K20" s="111">
        <v>20000</v>
      </c>
      <c r="L20" s="111">
        <v>30000</v>
      </c>
      <c r="M20" s="111" t="s">
        <v>40</v>
      </c>
      <c r="N20" s="113" t="s">
        <v>1378</v>
      </c>
      <c r="O20" s="114" t="s">
        <v>1379</v>
      </c>
    </row>
    <row r="21" s="95" customFormat="1" ht="40" customHeight="1" spans="1:15">
      <c r="A21" s="40">
        <v>17</v>
      </c>
      <c r="B21" s="40"/>
      <c r="C21" s="60" t="str">
        <f>_xlfn.DISPIMG("ID_FA8F7ABC3FD04308948A3D7BFA18D1AC",1)</f>
        <v>=DISPIMG("ID_FA8F7ABC3FD04308948A3D7BFA18D1AC",1)</v>
      </c>
      <c r="D21" s="40" t="s">
        <v>279</v>
      </c>
      <c r="E21" s="40">
        <v>9542888505</v>
      </c>
      <c r="F21" s="116" t="s">
        <v>1380</v>
      </c>
      <c r="G21" s="116" t="s">
        <v>1381</v>
      </c>
      <c r="H21" s="117">
        <v>6.5</v>
      </c>
      <c r="I21" s="117">
        <v>119.5</v>
      </c>
      <c r="J21" s="118" t="s">
        <v>45</v>
      </c>
      <c r="K21" s="119">
        <v>6000</v>
      </c>
      <c r="L21" s="119">
        <v>10000</v>
      </c>
      <c r="M21" s="125" t="s">
        <v>40</v>
      </c>
      <c r="N21" s="126" t="s">
        <v>1382</v>
      </c>
      <c r="O21" s="120" t="s">
        <v>1383</v>
      </c>
    </row>
    <row r="22" s="95" customFormat="1" ht="40" customHeight="1" spans="1:15">
      <c r="A22" s="46">
        <v>18</v>
      </c>
      <c r="B22" s="107"/>
      <c r="C22" s="46" t="str">
        <f>_xlfn.DISPIMG("ID_9F98F5572FA143D1A3AA0C7A4A20E102",1)</f>
        <v>=DISPIMG("ID_9F98F5572FA143D1A3AA0C7A4A20E102",1)</v>
      </c>
      <c r="D22" s="46" t="s">
        <v>268</v>
      </c>
      <c r="E22" s="108">
        <v>749565553</v>
      </c>
      <c r="F22" s="108" t="s">
        <v>1384</v>
      </c>
      <c r="G22" s="46" t="s">
        <v>1385</v>
      </c>
      <c r="H22" s="109">
        <v>38.1</v>
      </c>
      <c r="I22" s="109">
        <v>305.5</v>
      </c>
      <c r="J22" s="110" t="s">
        <v>45</v>
      </c>
      <c r="K22" s="111">
        <v>50000</v>
      </c>
      <c r="L22" s="111">
        <v>88000</v>
      </c>
      <c r="M22" s="111" t="s">
        <v>1386</v>
      </c>
      <c r="N22" s="113" t="s">
        <v>1387</v>
      </c>
      <c r="O22" s="114" t="s">
        <v>1388</v>
      </c>
    </row>
    <row r="23" s="95" customFormat="1" ht="40" customHeight="1" spans="1:15">
      <c r="A23" s="40">
        <v>19</v>
      </c>
      <c r="B23" s="40"/>
      <c r="C23" s="60" t="str">
        <f>_xlfn.DISPIMG("ID_C6E0F729476145B1B33570844F7AEF28",1)</f>
        <v>=DISPIMG("ID_C6E0F729476145B1B33570844F7AEF28",1)</v>
      </c>
      <c r="D23" s="40" t="s">
        <v>531</v>
      </c>
      <c r="E23" s="40">
        <v>555577854</v>
      </c>
      <c r="F23" s="116" t="s">
        <v>1389</v>
      </c>
      <c r="G23" s="116" t="s">
        <v>1390</v>
      </c>
      <c r="H23" s="117">
        <v>56.1</v>
      </c>
      <c r="I23" s="117">
        <v>564.4</v>
      </c>
      <c r="J23" s="118" t="s">
        <v>45</v>
      </c>
      <c r="K23" s="119">
        <v>30000</v>
      </c>
      <c r="L23" s="119">
        <v>50000</v>
      </c>
      <c r="M23" s="125" t="s">
        <v>40</v>
      </c>
      <c r="N23" s="126" t="s">
        <v>1391</v>
      </c>
      <c r="O23" s="120" t="s">
        <v>1392</v>
      </c>
    </row>
    <row r="24" s="95" customFormat="1" ht="40" customHeight="1" spans="1:15">
      <c r="A24" s="46">
        <v>20</v>
      </c>
      <c r="B24" s="107"/>
      <c r="C24" s="46" t="str">
        <f>_xlfn.DISPIMG("ID_45364279DDF94FE1A6F8998A67BC42D7",1)</f>
        <v>=DISPIMG("ID_45364279DDF94FE1A6F8998A67BC42D7",1)</v>
      </c>
      <c r="D24" s="46" t="s">
        <v>1393</v>
      </c>
      <c r="E24" s="108">
        <v>979988831</v>
      </c>
      <c r="F24" s="108" t="s">
        <v>1394</v>
      </c>
      <c r="G24" s="46" t="s">
        <v>1395</v>
      </c>
      <c r="H24" s="109">
        <v>20.8</v>
      </c>
      <c r="I24" s="109">
        <v>237.4</v>
      </c>
      <c r="J24" s="110" t="s">
        <v>45</v>
      </c>
      <c r="K24" s="111">
        <v>20000</v>
      </c>
      <c r="L24" s="111">
        <v>25000</v>
      </c>
      <c r="M24" s="111" t="s">
        <v>40</v>
      </c>
      <c r="N24" s="113" t="s">
        <v>1396</v>
      </c>
      <c r="O24" s="114" t="s">
        <v>1397</v>
      </c>
    </row>
    <row r="25" s="95" customFormat="1" ht="40" customHeight="1" spans="1:15">
      <c r="A25" s="40">
        <v>21</v>
      </c>
      <c r="B25" s="40"/>
      <c r="C25" s="60" t="str">
        <f>_xlfn.DISPIMG("ID_84004700788346389F1F6AFA69A290F1",1)</f>
        <v>=DISPIMG("ID_84004700788346389F1F6AFA69A290F1",1)</v>
      </c>
      <c r="D25" s="40" t="s">
        <v>1398</v>
      </c>
      <c r="E25" s="40">
        <v>802736996</v>
      </c>
      <c r="F25" s="116" t="s">
        <v>1399</v>
      </c>
      <c r="G25" s="116" t="s">
        <v>1400</v>
      </c>
      <c r="H25" s="117">
        <v>21.6</v>
      </c>
      <c r="I25" s="117">
        <v>307.5</v>
      </c>
      <c r="J25" s="118" t="s">
        <v>45</v>
      </c>
      <c r="K25" s="119">
        <v>30000</v>
      </c>
      <c r="L25" s="119">
        <v>45000</v>
      </c>
      <c r="M25" s="125" t="s">
        <v>40</v>
      </c>
      <c r="N25" s="126" t="s">
        <v>1401</v>
      </c>
      <c r="O25" s="120" t="s">
        <v>1402</v>
      </c>
    </row>
    <row r="26" s="95" customFormat="1" ht="40" customHeight="1" spans="1:15">
      <c r="A26" s="46">
        <v>22</v>
      </c>
      <c r="B26" s="107"/>
      <c r="C26" s="46" t="str">
        <f>_xlfn.DISPIMG("ID_F8CCD902B84F41B2811EBD1982EFEAAB",1)</f>
        <v>=DISPIMG("ID_F8CCD902B84F41B2811EBD1982EFEAAB",1)</v>
      </c>
      <c r="D26" s="46" t="s">
        <v>628</v>
      </c>
      <c r="E26" s="108">
        <v>740720709</v>
      </c>
      <c r="F26" s="108" t="s">
        <v>1403</v>
      </c>
      <c r="G26" s="46" t="s">
        <v>1404</v>
      </c>
      <c r="H26" s="109">
        <v>21.6</v>
      </c>
      <c r="I26" s="109">
        <v>132.5</v>
      </c>
      <c r="J26" s="110" t="s">
        <v>45</v>
      </c>
      <c r="K26" s="111">
        <v>28000</v>
      </c>
      <c r="L26" s="111">
        <v>45000</v>
      </c>
      <c r="M26" s="111" t="s">
        <v>40</v>
      </c>
      <c r="N26" s="113" t="s">
        <v>1405</v>
      </c>
      <c r="O26" s="114" t="s">
        <v>1406</v>
      </c>
    </row>
    <row r="27" s="95" customFormat="1" ht="40" customHeight="1" spans="1:15">
      <c r="A27" s="40">
        <v>23</v>
      </c>
      <c r="B27" s="40"/>
      <c r="C27" s="60" t="str">
        <f>_xlfn.DISPIMG("ID_0D2371F7C1564FCCBC9A2780976F2A2F",1)</f>
        <v>=DISPIMG("ID_0D2371F7C1564FCCBC9A2780976F2A2F",1)</v>
      </c>
      <c r="D27" s="40" t="s">
        <v>1407</v>
      </c>
      <c r="E27" s="40">
        <v>241012004</v>
      </c>
      <c r="F27" s="116" t="s">
        <v>1408</v>
      </c>
      <c r="G27" s="116" t="s">
        <v>1409</v>
      </c>
      <c r="H27" s="117">
        <v>14.3</v>
      </c>
      <c r="I27" s="117">
        <v>76.3</v>
      </c>
      <c r="J27" s="118" t="s">
        <v>45</v>
      </c>
      <c r="K27" s="119">
        <v>15000</v>
      </c>
      <c r="L27" s="119">
        <v>20000</v>
      </c>
      <c r="M27" s="125" t="s">
        <v>40</v>
      </c>
      <c r="N27" s="126" t="s">
        <v>1410</v>
      </c>
      <c r="O27" s="120" t="s">
        <v>1411</v>
      </c>
    </row>
    <row r="28" s="95" customFormat="1" ht="40" customHeight="1" spans="1:15">
      <c r="A28" s="46">
        <v>24</v>
      </c>
      <c r="B28" s="107"/>
      <c r="C28" s="46" t="str">
        <f>_xlfn.DISPIMG("ID_C63D8BEF69054299BD99EFFB82F2FA85",1)</f>
        <v>=DISPIMG("ID_C63D8BEF69054299BD99EFFB82F2FA85",1)</v>
      </c>
      <c r="D28" s="46" t="s">
        <v>1412</v>
      </c>
      <c r="E28" s="108" t="s">
        <v>1413</v>
      </c>
      <c r="F28" s="108" t="s">
        <v>1414</v>
      </c>
      <c r="G28" s="46" t="s">
        <v>1415</v>
      </c>
      <c r="H28" s="109">
        <v>11.4</v>
      </c>
      <c r="I28" s="109">
        <v>40.9</v>
      </c>
      <c r="J28" s="110" t="s">
        <v>853</v>
      </c>
      <c r="K28" s="111">
        <v>25000</v>
      </c>
      <c r="L28" s="111">
        <v>40000</v>
      </c>
      <c r="M28" s="111" t="s">
        <v>40</v>
      </c>
      <c r="N28" s="113" t="s">
        <v>1416</v>
      </c>
      <c r="O28" s="114" t="s">
        <v>1417</v>
      </c>
    </row>
    <row r="29" s="95" customFormat="1" ht="40" customHeight="1" spans="1:15">
      <c r="A29" s="40">
        <v>25</v>
      </c>
      <c r="B29" s="40"/>
      <c r="C29" s="60" t="str">
        <f>_xlfn.DISPIMG("ID_8800038899AD4ADFA16C59953E0E4EFB",1)</f>
        <v>=DISPIMG("ID_8800038899AD4ADFA16C59953E0E4EFB",1)</v>
      </c>
      <c r="D29" s="40" t="s">
        <v>912</v>
      </c>
      <c r="E29" s="40">
        <v>2285022473</v>
      </c>
      <c r="F29" s="116" t="s">
        <v>1418</v>
      </c>
      <c r="G29" s="116" t="s">
        <v>1381</v>
      </c>
      <c r="H29" s="117">
        <v>8.4</v>
      </c>
      <c r="I29" s="117">
        <v>233.4</v>
      </c>
      <c r="J29" s="118" t="s">
        <v>136</v>
      </c>
      <c r="K29" s="119">
        <v>10000</v>
      </c>
      <c r="L29" s="119">
        <v>15000</v>
      </c>
      <c r="M29" s="125" t="s">
        <v>40</v>
      </c>
      <c r="N29" s="126" t="s">
        <v>1419</v>
      </c>
      <c r="O29" s="120" t="s">
        <v>1420</v>
      </c>
    </row>
    <row r="30" s="95" customFormat="1" ht="40" customHeight="1" spans="1:15">
      <c r="A30" s="46">
        <v>26</v>
      </c>
      <c r="B30" s="107"/>
      <c r="C30" s="46" t="str">
        <f>_xlfn.DISPIMG("ID_BD7D2AE1FEEA4B539B8A02E17754BB63",1)</f>
        <v>=DISPIMG("ID_BD7D2AE1FEEA4B539B8A02E17754BB63",1)</v>
      </c>
      <c r="D30" s="46" t="s">
        <v>690</v>
      </c>
      <c r="E30" s="108" t="s">
        <v>1421</v>
      </c>
      <c r="F30" s="108" t="s">
        <v>1422</v>
      </c>
      <c r="G30" s="46" t="s">
        <v>1423</v>
      </c>
      <c r="H30" s="109">
        <v>6</v>
      </c>
      <c r="I30" s="109">
        <v>50.5</v>
      </c>
      <c r="J30" s="110" t="s">
        <v>45</v>
      </c>
      <c r="K30" s="111">
        <v>8000</v>
      </c>
      <c r="L30" s="111">
        <v>12000</v>
      </c>
      <c r="M30" s="111" t="s">
        <v>40</v>
      </c>
      <c r="N30" s="113" t="s">
        <v>1424</v>
      </c>
      <c r="O30" s="114" t="s">
        <v>1425</v>
      </c>
    </row>
    <row r="31" s="95" customFormat="1" ht="40" customHeight="1" spans="1:15">
      <c r="A31" s="40">
        <v>27</v>
      </c>
      <c r="B31" s="124"/>
      <c r="C31" t="str">
        <f>_xlfn.DISPIMG("ID_BF95F8059F5643C4B210BE2FB3FC7D2A",1)</f>
        <v>=DISPIMG("ID_BF95F8059F5643C4B210BE2FB3FC7D2A",1)</v>
      </c>
      <c r="D31" s="40" t="s">
        <v>975</v>
      </c>
      <c r="E31" s="40" t="s">
        <v>1426</v>
      </c>
      <c r="F31" s="116"/>
      <c r="G31" s="116" t="s">
        <v>1427</v>
      </c>
      <c r="H31" s="117">
        <v>0.71</v>
      </c>
      <c r="I31" s="117">
        <v>3.8</v>
      </c>
      <c r="J31" s="118" t="s">
        <v>45</v>
      </c>
      <c r="K31" s="119">
        <v>3000</v>
      </c>
      <c r="L31" s="119">
        <v>5000</v>
      </c>
      <c r="M31" s="125" t="s">
        <v>40</v>
      </c>
      <c r="N31" s="125" t="s">
        <v>1428</v>
      </c>
      <c r="O31" s="120" t="s">
        <v>40</v>
      </c>
    </row>
    <row r="32" s="95" customFormat="1" ht="40" customHeight="1" spans="1:15">
      <c r="A32" s="46">
        <v>28</v>
      </c>
      <c r="B32" s="107"/>
      <c r="C32" s="46" t="str">
        <f>_xlfn.DISPIMG("ID_EC1AAC235172433B86CDEDC2691E72E2",1)</f>
        <v>=DISPIMG("ID_EC1AAC235172433B86CDEDC2691E72E2",1)</v>
      </c>
      <c r="D32" s="108" t="s">
        <v>1429</v>
      </c>
      <c r="E32" s="108">
        <v>156892753</v>
      </c>
      <c r="F32" s="108" t="s">
        <v>1430</v>
      </c>
      <c r="G32" s="46" t="s">
        <v>1431</v>
      </c>
      <c r="H32" s="109">
        <v>54.9</v>
      </c>
      <c r="I32" s="109">
        <v>637.6</v>
      </c>
      <c r="J32" s="110" t="s">
        <v>1209</v>
      </c>
      <c r="K32" s="111">
        <v>20000</v>
      </c>
      <c r="L32" s="111">
        <v>35000</v>
      </c>
      <c r="M32" s="111" t="s">
        <v>40</v>
      </c>
      <c r="N32" s="113" t="s">
        <v>1432</v>
      </c>
      <c r="O32" s="114" t="s">
        <v>1433</v>
      </c>
    </row>
    <row r="33" s="95" customFormat="1" ht="40" customHeight="1" spans="1:15">
      <c r="A33" s="40">
        <v>29</v>
      </c>
      <c r="B33" s="40"/>
      <c r="C33" s="60" t="str">
        <f>_xlfn.DISPIMG("ID_183D2C17EBC3467F9F312E51A85A6350",1)</f>
        <v>=DISPIMG("ID_183D2C17EBC3467F9F312E51A85A6350",1)</v>
      </c>
      <c r="D33" s="40" t="s">
        <v>1434</v>
      </c>
      <c r="E33" s="40">
        <v>1057334689</v>
      </c>
      <c r="F33" s="116" t="s">
        <v>1435</v>
      </c>
      <c r="G33" s="116" t="s">
        <v>1436</v>
      </c>
      <c r="H33" s="117">
        <v>77.3</v>
      </c>
      <c r="I33" s="117">
        <v>395.1</v>
      </c>
      <c r="J33" s="118" t="s">
        <v>45</v>
      </c>
      <c r="K33" s="119">
        <v>15000</v>
      </c>
      <c r="L33" s="119">
        <v>43000</v>
      </c>
      <c r="M33" s="125" t="s">
        <v>40</v>
      </c>
      <c r="N33" s="126" t="s">
        <v>1437</v>
      </c>
      <c r="O33" s="120" t="s">
        <v>1438</v>
      </c>
    </row>
    <row r="34" s="94" customFormat="1" ht="25" customHeight="1" spans="1:15">
      <c r="A34" s="127"/>
      <c r="B34" s="127"/>
      <c r="C34" s="127"/>
      <c r="D34" s="127"/>
      <c r="E34" s="127"/>
      <c r="F34" s="127"/>
      <c r="G34" s="128" t="s">
        <v>1439</v>
      </c>
      <c r="H34" s="129"/>
      <c r="I34" s="129"/>
      <c r="J34" s="127"/>
      <c r="K34" s="127"/>
      <c r="L34" s="127"/>
      <c r="M34" s="127"/>
      <c r="N34" s="127"/>
      <c r="O34" s="127"/>
    </row>
    <row r="35" s="95" customFormat="1" ht="40" customHeight="1" spans="1:15">
      <c r="A35" s="40">
        <v>30</v>
      </c>
      <c r="B35" s="115"/>
      <c r="C35" s="60" t="str">
        <f>_xlfn.DISPIMG("ID_40729C90AA504E43B7F3045BA84F64C8",1)</f>
        <v>=DISPIMG("ID_40729C90AA504E43B7F3045BA84F64C8",1)</v>
      </c>
      <c r="D35" s="40" t="s">
        <v>1154</v>
      </c>
      <c r="E35" s="40">
        <v>884990145</v>
      </c>
      <c r="F35" s="116" t="s">
        <v>1440</v>
      </c>
      <c r="G35" s="116" t="s">
        <v>1441</v>
      </c>
      <c r="H35" s="117">
        <v>129.7</v>
      </c>
      <c r="I35" s="117">
        <v>1253.5</v>
      </c>
      <c r="J35" s="37" t="s">
        <v>594</v>
      </c>
      <c r="K35" s="119">
        <v>96000</v>
      </c>
      <c r="L35" s="119">
        <v>120000</v>
      </c>
      <c r="M35" s="119" t="s">
        <v>40</v>
      </c>
      <c r="N35" s="64" t="s">
        <v>1442</v>
      </c>
      <c r="O35" s="120" t="s">
        <v>1443</v>
      </c>
    </row>
    <row r="36" s="95" customFormat="1" ht="40" customHeight="1" spans="1:15">
      <c r="A36" s="46">
        <v>31</v>
      </c>
      <c r="B36" s="46"/>
      <c r="C36" s="46" t="str">
        <f>_xlfn.DISPIMG("ID_94D316B1999A441984C5D2BFC1BE6FF4",1)</f>
        <v>=DISPIMG("ID_94D316B1999A441984C5D2BFC1BE6FF4",1)</v>
      </c>
      <c r="D36" s="46" t="s">
        <v>1210</v>
      </c>
      <c r="E36" s="108" t="s">
        <v>1444</v>
      </c>
      <c r="F36" s="108" t="s">
        <v>1445</v>
      </c>
      <c r="G36" s="108" t="s">
        <v>1446</v>
      </c>
      <c r="H36" s="109">
        <v>125.2</v>
      </c>
      <c r="I36" s="109">
        <v>1437.4</v>
      </c>
      <c r="J36" s="110" t="s">
        <v>1216</v>
      </c>
      <c r="K36" s="111">
        <v>48000</v>
      </c>
      <c r="L36" s="111">
        <v>58000</v>
      </c>
      <c r="M36" s="112" t="s">
        <v>40</v>
      </c>
      <c r="N36" s="113" t="s">
        <v>1447</v>
      </c>
      <c r="O36" s="113" t="s">
        <v>1448</v>
      </c>
    </row>
    <row r="37" s="95" customFormat="1" ht="40" customHeight="1" spans="1:15">
      <c r="A37" s="40">
        <v>32</v>
      </c>
      <c r="B37" s="124"/>
      <c r="C37" s="61" t="str">
        <f>_xlfn.DISPIMG("ID_659725E2044440AC98B018E5EF985A4F",1)</f>
        <v>=DISPIMG("ID_659725E2044440AC98B018E5EF985A4F",1)</v>
      </c>
      <c r="D37" s="40" t="s">
        <v>57</v>
      </c>
      <c r="E37" s="40">
        <v>498651070</v>
      </c>
      <c r="F37" s="116" t="s">
        <v>1449</v>
      </c>
      <c r="G37" s="116" t="s">
        <v>1446</v>
      </c>
      <c r="H37" s="117">
        <v>75.1</v>
      </c>
      <c r="I37" s="117">
        <v>819.2</v>
      </c>
      <c r="J37" s="37" t="s">
        <v>1450</v>
      </c>
      <c r="K37" s="125">
        <v>160000</v>
      </c>
      <c r="L37" s="125">
        <v>190000</v>
      </c>
      <c r="M37" s="125" t="s">
        <v>40</v>
      </c>
      <c r="N37" s="125" t="s">
        <v>1451</v>
      </c>
      <c r="O37" s="125" t="s">
        <v>1452</v>
      </c>
    </row>
    <row r="38" s="95" customFormat="1" ht="40" customHeight="1" spans="1:15">
      <c r="A38" s="46">
        <v>33</v>
      </c>
      <c r="B38" s="46"/>
      <c r="C38" s="46" t="str">
        <f>_xlfn.DISPIMG("ID_EBD2631FCAEC4FDD92F0E226BE26ACCF",1)</f>
        <v>=DISPIMG("ID_EBD2631FCAEC4FDD92F0E226BE26ACCF",1)</v>
      </c>
      <c r="D38" s="46" t="s">
        <v>235</v>
      </c>
      <c r="E38" s="108">
        <v>859489967</v>
      </c>
      <c r="F38" s="108" t="s">
        <v>1453</v>
      </c>
      <c r="G38" s="108" t="s">
        <v>1454</v>
      </c>
      <c r="H38" s="109">
        <v>5.7</v>
      </c>
      <c r="I38" s="109">
        <v>83</v>
      </c>
      <c r="J38" s="110" t="s">
        <v>45</v>
      </c>
      <c r="K38" s="111">
        <v>4000</v>
      </c>
      <c r="L38" s="111">
        <v>6800</v>
      </c>
      <c r="M38" s="112" t="s">
        <v>40</v>
      </c>
      <c r="N38" s="113" t="s">
        <v>1455</v>
      </c>
      <c r="O38" s="113" t="s">
        <v>1456</v>
      </c>
    </row>
    <row r="39" s="95" customFormat="1" ht="40" customHeight="1" spans="1:15">
      <c r="A39" s="40">
        <v>34</v>
      </c>
      <c r="B39" s="115"/>
      <c r="C39" s="60" t="str">
        <f>_xlfn.DISPIMG("ID_B1795C0DC3FD4663ABD5DF9C682C22A7",1)</f>
        <v>=DISPIMG("ID_B1795C0DC3FD4663ABD5DF9C682C22A7",1)</v>
      </c>
      <c r="D39" s="40" t="s">
        <v>1457</v>
      </c>
      <c r="E39" s="40">
        <v>1180596864</v>
      </c>
      <c r="F39" s="116" t="s">
        <v>1458</v>
      </c>
      <c r="G39" s="116" t="s">
        <v>1459</v>
      </c>
      <c r="H39" s="117">
        <v>2.2</v>
      </c>
      <c r="I39" s="117">
        <v>31.3</v>
      </c>
      <c r="J39" s="37" t="s">
        <v>45</v>
      </c>
      <c r="K39" s="119">
        <v>4000</v>
      </c>
      <c r="L39" s="119">
        <v>6000</v>
      </c>
      <c r="M39" s="119" t="s">
        <v>40</v>
      </c>
      <c r="N39" s="64" t="s">
        <v>1460</v>
      </c>
      <c r="O39" s="120" t="s">
        <v>1461</v>
      </c>
    </row>
    <row r="40" s="95" customFormat="1" ht="40" customHeight="1" spans="1:15">
      <c r="A40" s="46">
        <v>35</v>
      </c>
      <c r="B40" s="46"/>
      <c r="C40" s="46" t="str">
        <f>_xlfn.DISPIMG("ID_CF3E9C04E2EB483DB964FAB1C49DFD49",1)</f>
        <v>=DISPIMG("ID_CF3E9C04E2EB483DB964FAB1C49DFD49",1)</v>
      </c>
      <c r="D40" s="46" t="s">
        <v>168</v>
      </c>
      <c r="E40" s="108">
        <v>245666155</v>
      </c>
      <c r="F40" s="108" t="s">
        <v>1462</v>
      </c>
      <c r="G40" s="108" t="s">
        <v>1463</v>
      </c>
      <c r="H40" s="109">
        <v>28</v>
      </c>
      <c r="I40" s="109">
        <v>321.8</v>
      </c>
      <c r="J40" s="110" t="s">
        <v>45</v>
      </c>
      <c r="K40" s="111">
        <v>28000</v>
      </c>
      <c r="L40" s="111">
        <v>38000</v>
      </c>
      <c r="M40" s="112" t="s">
        <v>40</v>
      </c>
      <c r="N40" s="113" t="s">
        <v>1464</v>
      </c>
      <c r="O40" s="113" t="s">
        <v>1465</v>
      </c>
    </row>
    <row r="41" s="95" customFormat="1" ht="40" customHeight="1" spans="1:15">
      <c r="A41" s="40">
        <v>36</v>
      </c>
      <c r="B41" s="115"/>
      <c r="C41" s="60" t="str">
        <f>_xlfn.DISPIMG("ID_3DC8C9DC7D2A40A182F096AE2C13FE48",1)</f>
        <v>=DISPIMG("ID_3DC8C9DC7D2A40A182F096AE2C13FE48",1)</v>
      </c>
      <c r="D41" s="40" t="s">
        <v>1466</v>
      </c>
      <c r="E41" s="40">
        <v>345792259</v>
      </c>
      <c r="F41" s="116" t="s">
        <v>1467</v>
      </c>
      <c r="G41" s="116" t="s">
        <v>1468</v>
      </c>
      <c r="H41" s="117">
        <v>18.1</v>
      </c>
      <c r="I41" s="117">
        <v>119.7</v>
      </c>
      <c r="J41" s="37" t="s">
        <v>45</v>
      </c>
      <c r="K41" s="119">
        <v>10000</v>
      </c>
      <c r="L41" s="119">
        <v>68000</v>
      </c>
      <c r="M41" s="119" t="s">
        <v>40</v>
      </c>
      <c r="N41" s="64" t="s">
        <v>1469</v>
      </c>
      <c r="O41" s="120" t="s">
        <v>1470</v>
      </c>
    </row>
    <row r="42" s="95" customFormat="1" ht="40" customHeight="1" spans="1:15">
      <c r="A42" s="46">
        <v>37</v>
      </c>
      <c r="B42" s="46"/>
      <c r="C42" s="46" t="str">
        <f>_xlfn.DISPIMG("ID_5D30AC2FB77E462F933F8BAFB9E4736D",1)</f>
        <v>=DISPIMG("ID_5D30AC2FB77E462F933F8BAFB9E4736D",1)</v>
      </c>
      <c r="D42" s="46" t="s">
        <v>797</v>
      </c>
      <c r="E42" s="108">
        <v>890803218</v>
      </c>
      <c r="F42" s="108" t="s">
        <v>1471</v>
      </c>
      <c r="G42" s="108" t="s">
        <v>1472</v>
      </c>
      <c r="H42" s="109">
        <v>54.2</v>
      </c>
      <c r="I42" s="109">
        <v>612.4</v>
      </c>
      <c r="J42" s="110" t="s">
        <v>45</v>
      </c>
      <c r="K42" s="111">
        <v>28000</v>
      </c>
      <c r="L42" s="111">
        <v>38000</v>
      </c>
      <c r="M42" s="112" t="s">
        <v>40</v>
      </c>
      <c r="N42" s="113" t="s">
        <v>1473</v>
      </c>
      <c r="O42" s="113" t="s">
        <v>1474</v>
      </c>
    </row>
    <row r="43" s="95" customFormat="1" ht="40" customHeight="1" spans="1:15">
      <c r="A43" s="40">
        <v>38</v>
      </c>
      <c r="B43" s="115"/>
      <c r="C43" s="60" t="str">
        <f>_xlfn.DISPIMG("ID_69A1947915674D9CB0631F5D4C3CDFDE",1)</f>
        <v>=DISPIMG("ID_69A1947915674D9CB0631F5D4C3CDFDE",1)</v>
      </c>
      <c r="D43" s="40" t="s">
        <v>224</v>
      </c>
      <c r="E43" s="40">
        <v>9568993287</v>
      </c>
      <c r="F43" s="116" t="s">
        <v>1475</v>
      </c>
      <c r="G43" s="116" t="s">
        <v>1463</v>
      </c>
      <c r="H43" s="117">
        <v>36.2</v>
      </c>
      <c r="I43" s="117">
        <v>372</v>
      </c>
      <c r="J43" s="37" t="s">
        <v>45</v>
      </c>
      <c r="K43" s="119">
        <v>20000</v>
      </c>
      <c r="L43" s="119">
        <v>40000</v>
      </c>
      <c r="M43" s="119" t="s">
        <v>40</v>
      </c>
      <c r="N43" s="64" t="s">
        <v>1476</v>
      </c>
      <c r="O43" s="120" t="s">
        <v>1477</v>
      </c>
    </row>
    <row r="44" s="94" customFormat="1" ht="25" customHeight="1" spans="1:15">
      <c r="A44" s="130"/>
      <c r="B44" s="130"/>
      <c r="C44" s="130"/>
      <c r="D44" s="130"/>
      <c r="E44" s="130"/>
      <c r="F44" s="130"/>
      <c r="G44" s="131" t="s">
        <v>1478</v>
      </c>
      <c r="H44" s="132"/>
      <c r="I44" s="132"/>
      <c r="J44" s="130"/>
      <c r="K44" s="130"/>
      <c r="L44" s="130"/>
      <c r="M44" s="130"/>
      <c r="N44" s="130"/>
      <c r="O44" s="130"/>
    </row>
    <row r="45" s="95" customFormat="1" ht="40" customHeight="1" spans="1:15">
      <c r="A45" s="46">
        <v>39</v>
      </c>
      <c r="B45" s="107"/>
      <c r="C45" s="65" t="str">
        <f>_xlfn.DISPIMG("ID_1342947BE7894E3E8205ACD75702691A",1)</f>
        <v>=DISPIMG("ID_1342947BE7894E3E8205ACD75702691A",1)</v>
      </c>
      <c r="D45" s="46" t="s">
        <v>32</v>
      </c>
      <c r="E45" s="46">
        <v>2901261441</v>
      </c>
      <c r="F45" s="108" t="s">
        <v>1479</v>
      </c>
      <c r="G45" s="108" t="s">
        <v>1480</v>
      </c>
      <c r="H45" s="109">
        <v>136.2</v>
      </c>
      <c r="I45" s="109">
        <v>747.9</v>
      </c>
      <c r="J45" s="110" t="s">
        <v>45</v>
      </c>
      <c r="K45" s="111">
        <v>150000</v>
      </c>
      <c r="L45" s="111" t="s">
        <v>1481</v>
      </c>
      <c r="M45" s="111" t="s">
        <v>40</v>
      </c>
      <c r="N45" s="113" t="s">
        <v>1482</v>
      </c>
      <c r="O45" s="114" t="s">
        <v>1483</v>
      </c>
    </row>
    <row r="46" s="95" customFormat="1" ht="40" customHeight="1" spans="1:15">
      <c r="A46" s="40">
        <v>40</v>
      </c>
      <c r="B46" s="40"/>
      <c r="C46" s="60" t="str">
        <f>_xlfn.DISPIMG("ID_D9CE992367B2406F818344C9598E8010",1)</f>
        <v>=DISPIMG("ID_D9CE992367B2406F818344C9598E8010",1)</v>
      </c>
      <c r="D46" s="40" t="s">
        <v>863</v>
      </c>
      <c r="E46" s="40">
        <v>738929455</v>
      </c>
      <c r="F46" s="116" t="s">
        <v>1484</v>
      </c>
      <c r="G46" s="116" t="s">
        <v>1485</v>
      </c>
      <c r="H46" s="117">
        <v>2.4</v>
      </c>
      <c r="I46" s="117">
        <v>25.8</v>
      </c>
      <c r="J46" s="118" t="s">
        <v>45</v>
      </c>
      <c r="K46" s="119">
        <v>3000</v>
      </c>
      <c r="L46" s="119">
        <v>6000</v>
      </c>
      <c r="M46" s="119" t="s">
        <v>40</v>
      </c>
      <c r="N46" s="64" t="s">
        <v>1486</v>
      </c>
      <c r="O46" s="120" t="s">
        <v>1487</v>
      </c>
    </row>
    <row r="47" s="95" customFormat="1" ht="40" customHeight="1" spans="1:15">
      <c r="A47" s="46">
        <v>41</v>
      </c>
      <c r="B47" s="107"/>
      <c r="C47" s="46" t="str">
        <f>_xlfn.DISPIMG("ID_1B204D0DF25F4BA7A08167829A9F3C07",1)</f>
        <v>=DISPIMG("ID_1B204D0DF25F4BA7A08167829A9F3C07",1)</v>
      </c>
      <c r="D47" s="46" t="s">
        <v>1118</v>
      </c>
      <c r="E47" s="108" t="s">
        <v>1488</v>
      </c>
      <c r="F47" s="108" t="s">
        <v>1489</v>
      </c>
      <c r="G47" s="108" t="s">
        <v>1490</v>
      </c>
      <c r="H47" s="109">
        <v>6.7</v>
      </c>
      <c r="I47" s="109">
        <v>54.3</v>
      </c>
      <c r="J47" s="110" t="s">
        <v>45</v>
      </c>
      <c r="K47" s="111">
        <v>5000</v>
      </c>
      <c r="L47" s="111">
        <v>8000</v>
      </c>
      <c r="M47" s="111" t="s">
        <v>40</v>
      </c>
      <c r="N47" s="114" t="s">
        <v>1491</v>
      </c>
      <c r="O47" s="114" t="s">
        <v>1492</v>
      </c>
    </row>
    <row r="48" s="94" customFormat="1" ht="25" customHeight="1" spans="1:15">
      <c r="A48" s="133"/>
      <c r="B48" s="133"/>
      <c r="C48" s="133"/>
      <c r="D48" s="133"/>
      <c r="E48" s="133"/>
      <c r="F48" s="133"/>
      <c r="G48" s="133" t="s">
        <v>91</v>
      </c>
      <c r="H48" s="134"/>
      <c r="I48" s="134"/>
      <c r="J48" s="133"/>
      <c r="K48" s="133"/>
      <c r="L48" s="133"/>
      <c r="M48" s="133"/>
      <c r="N48" s="133"/>
      <c r="O48" s="133"/>
    </row>
    <row r="49" s="95" customFormat="1" ht="40" customHeight="1" spans="1:15">
      <c r="A49" s="46">
        <v>42</v>
      </c>
      <c r="B49" s="135" t="s">
        <v>92</v>
      </c>
      <c r="C49" s="46" t="str">
        <f>_xlfn.DISPIMG("ID_654CE2074224454884D7C4F04A1DB808",1)</f>
        <v>=DISPIMG("ID_654CE2074224454884D7C4F04A1DB808",1)</v>
      </c>
      <c r="D49" s="108" t="s">
        <v>93</v>
      </c>
      <c r="E49" s="46">
        <v>8023486810</v>
      </c>
      <c r="F49" s="108" t="s">
        <v>1493</v>
      </c>
      <c r="G49" s="108" t="s">
        <v>1494</v>
      </c>
      <c r="H49" s="109">
        <v>19.8</v>
      </c>
      <c r="I49" s="109">
        <v>94.5</v>
      </c>
      <c r="J49" s="110" t="s">
        <v>45</v>
      </c>
      <c r="K49" s="111">
        <v>350000</v>
      </c>
      <c r="L49" s="111">
        <v>380000</v>
      </c>
      <c r="M49" s="111" t="s">
        <v>40</v>
      </c>
      <c r="N49" s="114" t="s">
        <v>1495</v>
      </c>
      <c r="O49" s="114" t="s">
        <v>40</v>
      </c>
    </row>
    <row r="50" s="95" customFormat="1" ht="40" customHeight="1" spans="1:15">
      <c r="A50" s="17">
        <v>43</v>
      </c>
      <c r="B50" s="115"/>
      <c r="C50" t="str">
        <f>_xlfn.DISPIMG("ID_C180EAF4349344B8B47021073FD519F3",1)</f>
        <v>=DISPIMG("ID_C180EAF4349344B8B47021073FD519F3",1)</v>
      </c>
      <c r="D50" s="16" t="s">
        <v>103</v>
      </c>
      <c r="E50" s="17">
        <v>1598153984</v>
      </c>
      <c r="F50" s="16" t="s">
        <v>1496</v>
      </c>
      <c r="G50" s="16" t="s">
        <v>1494</v>
      </c>
      <c r="H50" s="136">
        <v>3.1</v>
      </c>
      <c r="I50" s="136">
        <v>41</v>
      </c>
      <c r="J50" s="137" t="s">
        <v>45</v>
      </c>
      <c r="K50" s="138">
        <v>8000</v>
      </c>
      <c r="L50" s="138">
        <v>10000</v>
      </c>
      <c r="M50" s="138" t="s">
        <v>40</v>
      </c>
      <c r="N50" s="64" t="s">
        <v>1497</v>
      </c>
      <c r="O50" s="64" t="s">
        <v>1498</v>
      </c>
    </row>
    <row r="51" s="94" customFormat="1" ht="25" customHeight="1" spans="1:15">
      <c r="A51" s="139"/>
      <c r="B51" s="139"/>
      <c r="C51" s="139"/>
      <c r="D51" s="139"/>
      <c r="E51" s="139"/>
      <c r="F51" s="139"/>
      <c r="G51" s="140" t="s">
        <v>1499</v>
      </c>
      <c r="H51" s="141"/>
      <c r="I51" s="141"/>
      <c r="J51" s="139"/>
      <c r="K51" s="139"/>
      <c r="L51" s="139"/>
      <c r="M51" s="139"/>
      <c r="N51" s="139"/>
      <c r="O51" s="139"/>
    </row>
    <row r="52" s="95" customFormat="1" ht="40" customHeight="1" spans="1:15">
      <c r="A52" s="40">
        <v>44</v>
      </c>
      <c r="B52" s="115"/>
      <c r="C52" t="str">
        <f>_xlfn.DISPIMG("ID_98E9F40190D140AF8D418DA5B73C904E",1)</f>
        <v>=DISPIMG("ID_98E9F40190D140AF8D418DA5B73C904E",1)</v>
      </c>
      <c r="D52" s="40" t="s">
        <v>374</v>
      </c>
      <c r="E52" s="40">
        <v>9514015310</v>
      </c>
      <c r="F52" s="116" t="s">
        <v>1500</v>
      </c>
      <c r="G52" s="116" t="s">
        <v>1501</v>
      </c>
      <c r="H52" s="117">
        <v>10.3</v>
      </c>
      <c r="I52" s="117">
        <v>52.1</v>
      </c>
      <c r="J52" s="118" t="s">
        <v>45</v>
      </c>
      <c r="K52" s="119">
        <v>15000</v>
      </c>
      <c r="L52" s="119">
        <v>30000</v>
      </c>
      <c r="M52" s="119" t="s">
        <v>40</v>
      </c>
      <c r="N52" s="64" t="s">
        <v>1502</v>
      </c>
      <c r="O52" s="120" t="s">
        <v>1503</v>
      </c>
    </row>
    <row r="53" s="95" customFormat="1" ht="40" customHeight="1" spans="1:15">
      <c r="A53" s="46">
        <v>45</v>
      </c>
      <c r="B53" s="107"/>
      <c r="C53" s="65" t="str">
        <f>_xlfn.DISPIMG("ID_82BAEAD4A8B04B6A86EA0B945ACFB8ED",1)</f>
        <v>=DISPIMG("ID_82BAEAD4A8B04B6A86EA0B945ACFB8ED",1)</v>
      </c>
      <c r="D53" s="67" t="s">
        <v>1504</v>
      </c>
      <c r="E53" s="43">
        <v>117956154</v>
      </c>
      <c r="F53" s="142" t="s">
        <v>1505</v>
      </c>
      <c r="G53" s="108" t="s">
        <v>1501</v>
      </c>
      <c r="H53" s="109">
        <v>1.1</v>
      </c>
      <c r="I53" s="109">
        <v>3.7</v>
      </c>
      <c r="J53" s="110" t="s">
        <v>45</v>
      </c>
      <c r="K53" s="111" t="s">
        <v>1506</v>
      </c>
      <c r="L53" s="111" t="s">
        <v>1506</v>
      </c>
      <c r="M53" s="111" t="s">
        <v>40</v>
      </c>
      <c r="N53" s="113" t="s">
        <v>1507</v>
      </c>
      <c r="O53" s="114" t="s">
        <v>1508</v>
      </c>
    </row>
    <row r="54" s="95" customFormat="1" ht="40" customHeight="1" spans="1:15">
      <c r="A54" s="40">
        <v>46</v>
      </c>
      <c r="B54" s="115"/>
      <c r="C54" s="60" t="str">
        <f>_xlfn.DISPIMG("ID_AAD41A3608BA499BB3B2FD1402694A71",1)</f>
        <v>=DISPIMG("ID_AAD41A3608BA499BB3B2FD1402694A71",1)</v>
      </c>
      <c r="D54" s="40" t="s">
        <v>1509</v>
      </c>
      <c r="E54" s="40">
        <v>116310128</v>
      </c>
      <c r="F54" s="116" t="s">
        <v>1510</v>
      </c>
      <c r="G54" s="116" t="s">
        <v>435</v>
      </c>
      <c r="H54" s="117">
        <v>2.3</v>
      </c>
      <c r="I54" s="117">
        <v>6.4</v>
      </c>
      <c r="J54" s="118" t="s">
        <v>45</v>
      </c>
      <c r="K54" s="119">
        <v>8000</v>
      </c>
      <c r="L54" s="119">
        <v>15000</v>
      </c>
      <c r="M54" s="119" t="s">
        <v>40</v>
      </c>
      <c r="N54" s="64" t="s">
        <v>1511</v>
      </c>
      <c r="O54" s="120" t="s">
        <v>1512</v>
      </c>
    </row>
    <row r="55" s="95" customFormat="1" ht="40" customHeight="1" spans="1:15">
      <c r="A55" s="46">
        <v>47</v>
      </c>
      <c r="B55" s="107"/>
      <c r="C55" s="65" t="str">
        <f>_xlfn.DISPIMG("ID_31BDFBC9D72246ECAA6021AAAD17785C",1)</f>
        <v>=DISPIMG("ID_31BDFBC9D72246ECAA6021AAAD17785C",1)</v>
      </c>
      <c r="D55" s="67" t="s">
        <v>1513</v>
      </c>
      <c r="E55" s="43">
        <v>6764017209</v>
      </c>
      <c r="F55" s="142" t="s">
        <v>1514</v>
      </c>
      <c r="G55" s="108" t="s">
        <v>435</v>
      </c>
      <c r="H55" s="109">
        <v>2</v>
      </c>
      <c r="I55" s="109">
        <v>5.6</v>
      </c>
      <c r="J55" s="110" t="s">
        <v>45</v>
      </c>
      <c r="K55" s="111">
        <v>8000</v>
      </c>
      <c r="L55" s="111">
        <v>15000</v>
      </c>
      <c r="M55" s="111" t="s">
        <v>40</v>
      </c>
      <c r="N55" s="113" t="s">
        <v>1515</v>
      </c>
      <c r="O55" s="113" t="s">
        <v>1516</v>
      </c>
    </row>
    <row r="56" s="95" customFormat="1" ht="40" customHeight="1" spans="1:15">
      <c r="A56" s="40">
        <v>48</v>
      </c>
      <c r="B56" s="115"/>
      <c r="C56" s="60" t="str">
        <f>_xlfn.DISPIMG("ID_F652C207402A4EFB961D0799CB123FE5",1)</f>
        <v>=DISPIMG("ID_F652C207402A4EFB961D0799CB123FE5",1)</v>
      </c>
      <c r="D56" s="40" t="s">
        <v>1517</v>
      </c>
      <c r="E56" s="40" t="s">
        <v>1518</v>
      </c>
      <c r="F56" s="116" t="s">
        <v>1519</v>
      </c>
      <c r="G56" s="116" t="s">
        <v>435</v>
      </c>
      <c r="H56" s="117">
        <v>1.7</v>
      </c>
      <c r="I56" s="117">
        <v>20.2</v>
      </c>
      <c r="J56" s="118" t="s">
        <v>45</v>
      </c>
      <c r="K56" s="119">
        <v>8000</v>
      </c>
      <c r="L56" s="119">
        <v>15000</v>
      </c>
      <c r="M56" s="119" t="s">
        <v>40</v>
      </c>
      <c r="N56" s="64" t="s">
        <v>1520</v>
      </c>
      <c r="O56" s="120" t="s">
        <v>1521</v>
      </c>
    </row>
    <row r="57" s="95" customFormat="1" ht="40" customHeight="1" spans="1:15">
      <c r="A57" s="46">
        <v>49</v>
      </c>
      <c r="B57" s="107"/>
      <c r="C57" s="65" t="str">
        <f>_xlfn.DISPIMG("ID_5E08D9A73757491D80EC53CF0B8532CB",1)</f>
        <v>=DISPIMG("ID_5E08D9A73757491D80EC53CF0B8532CB",1)</v>
      </c>
      <c r="D57" s="67" t="s">
        <v>1522</v>
      </c>
      <c r="E57" s="43">
        <v>8330102030</v>
      </c>
      <c r="F57" s="142" t="s">
        <v>1523</v>
      </c>
      <c r="G57" s="108" t="s">
        <v>1524</v>
      </c>
      <c r="H57" s="109">
        <v>1.9</v>
      </c>
      <c r="I57" s="109">
        <v>4.6</v>
      </c>
      <c r="J57" s="110" t="s">
        <v>45</v>
      </c>
      <c r="K57" s="111">
        <v>3000</v>
      </c>
      <c r="L57" s="111">
        <v>6000</v>
      </c>
      <c r="M57" s="111" t="s">
        <v>40</v>
      </c>
      <c r="N57" s="113" t="s">
        <v>1525</v>
      </c>
      <c r="O57" s="113" t="s">
        <v>1526</v>
      </c>
    </row>
    <row r="58" s="95" customFormat="1" ht="40" customHeight="1" spans="1:15">
      <c r="A58" s="40">
        <v>50</v>
      </c>
      <c r="B58" s="115"/>
      <c r="C58" s="60" t="str">
        <f>_xlfn.DISPIMG("ID_5A891D8FCD964649A8E4EEEAD62562F8",1)</f>
        <v>=DISPIMG("ID_5A891D8FCD964649A8E4EEEAD62562F8",1)</v>
      </c>
      <c r="D58" s="40" t="s">
        <v>1527</v>
      </c>
      <c r="E58" s="40">
        <v>2609821210</v>
      </c>
      <c r="F58" s="116" t="s">
        <v>1528</v>
      </c>
      <c r="G58" s="116" t="s">
        <v>1529</v>
      </c>
      <c r="H58" s="117">
        <v>13.1</v>
      </c>
      <c r="I58" s="117">
        <v>110.3</v>
      </c>
      <c r="J58" s="118" t="s">
        <v>45</v>
      </c>
      <c r="K58" s="119">
        <v>1800</v>
      </c>
      <c r="L58" s="119">
        <v>6000</v>
      </c>
      <c r="M58" s="119" t="s">
        <v>1530</v>
      </c>
      <c r="N58" s="64" t="s">
        <v>1531</v>
      </c>
      <c r="O58" s="120" t="s">
        <v>1532</v>
      </c>
    </row>
    <row r="59" s="95" customFormat="1" ht="40" customHeight="1" spans="1:15">
      <c r="A59" s="143">
        <v>51</v>
      </c>
      <c r="B59" s="144"/>
      <c r="C59" s="70" t="str">
        <f>_xlfn.DISPIMG("ID_401706D6110241AF85A23925E986506A",1)</f>
        <v>=DISPIMG("ID_401706D6110241AF85A23925E986506A",1)</v>
      </c>
      <c r="D59" s="72" t="s">
        <v>1533</v>
      </c>
      <c r="E59" s="69">
        <v>2918257134</v>
      </c>
      <c r="F59" s="145" t="s">
        <v>1534</v>
      </c>
      <c r="G59" s="146" t="s">
        <v>1535</v>
      </c>
      <c r="H59" s="147">
        <v>5.6</v>
      </c>
      <c r="I59" s="147">
        <v>32.4</v>
      </c>
      <c r="J59" s="148" t="s">
        <v>45</v>
      </c>
      <c r="K59" s="149">
        <v>5000</v>
      </c>
      <c r="L59" s="149">
        <v>6500</v>
      </c>
      <c r="M59" s="149" t="s">
        <v>1536</v>
      </c>
      <c r="N59" s="150" t="s">
        <v>1537</v>
      </c>
      <c r="O59" s="150" t="s">
        <v>1538</v>
      </c>
    </row>
  </sheetData>
  <autoFilter xmlns:etc="http://www.wps.cn/officeDocument/2017/etCustomData" ref="A2:O59" etc:filterBottomFollowUsedRange="0">
    <extLst/>
  </autoFilter>
  <mergeCells count="1">
    <mergeCell ref="A1:O1"/>
  </mergeCells>
  <hyperlinks>
    <hyperlink ref="N14" r:id="rId2" display="https://www.xiaohongshu.com/user/profile/5cb427010000000017018af8?language=zh-CN"/>
    <hyperlink ref="N7" r:id="rId3" display="https://www.xiaohongshu.com/user/profile/5b001a854eacab46d3308d84?language=zh-CN"/>
    <hyperlink ref="N24" r:id="rId4" display="https://www.xiaohongshu.com/user/profile/5c886d4a000000001103062a?language=zh-CN" tooltip="https://www.xiaohongshu.com/user/profile/5c886d4a000000001103062a?language=zh-CN"/>
    <hyperlink ref="N18" r:id="rId5" display="https://www.xiaohongshu.com/user/profile/5fbf55ac00000000010054ec?language=zh-CN"/>
    <hyperlink ref="N16" r:id="rId6" display="https://www.xiaohongshu.com/user/profile/601d48c2000000000101e66a?language=zh-CN"/>
    <hyperlink ref="N43" r:id="rId7" display="https://www.xiaohongshu.com/user/profile/60c9d9cb0000000001009e2a?language=zh-CN"/>
    <hyperlink ref="N40" r:id="rId8" display="https://www.xiaohongshu.com/user/profile/5f508cb8000000000100baa4?language=zh-CN"/>
    <hyperlink ref="N27" r:id="rId9" display="https://www.xiaohongshu.com/user/profile/5f2e0669000000000101c68b?language=zh-CN"/>
    <hyperlink ref="N20" r:id="rId10" display="https://www.xiaohongshu.com/user/profile/5fa362a30000000001000747?language=zh-CN"/>
    <hyperlink ref="N41" r:id="rId11" display="https://www.xiaohongshu.com/user/profile/5ed4909b0000000001002d4f?language=zh-CN"/>
    <hyperlink ref="N52" r:id="rId12" display="https://www.xiaohongshu.com/user/profile/612f5616000000000201db0b?language=zh-CN"/>
    <hyperlink ref="N30" r:id="rId13" display="https://www.xiaohongshu.co&#10;m/user/profile/5b4f5fcb11&#10;be106513a09b1c" tooltip="https://www.xiaohongshu.com/user/profile/5b4f5fcb11be106513a09b1c"/>
    <hyperlink ref="N5" r:id="rId14" display="https://www.xiaohongshu.com/user/profile/61a60fe70000000010005673?xhsshare=CopyLink&amp;appuid=5abb1ddc4eacab7df3804e90&amp;apptime=1646106950"/>
    <hyperlink ref="N25" r:id="rId15" display="https://www.xiaohongshu.com/user/profile/5a9e4fd2e8ac2b28058cc6bc?xhsshare=CopyLink&amp;appuid=5bb0616f7d87110001b9d058&amp;apptime=1660629996"/>
    <hyperlink ref="N23" r:id="rId16" display="https://www.xiaohongshu.com/user/profile/5c6836cc0000000011031924?xhsshare=CopyLink&amp;appuid=5f6887c9000000000100b2fc&amp;apptime=1668403653"/>
    <hyperlink ref="N45" r:id="rId17" display="https://www.xiaohongshu.com/user/profile/63427e74000000001802fe3e?xhsshare=CopyLink&amp;appuid=5f6887c9000000000100b2fc&amp;apptime=1669968325"/>
    <hyperlink ref="N53" r:id="rId18" display="https://www.xiaohongshu.com/user/profile/5b2de90311be1024e027ab8c?xhsshare=CopyLink&amp;appuid=5f6887c9000000000100b2fc&amp;apptime=1679989323"/>
    <hyperlink ref="N10" r:id="rId19" display="https://www.xiaohongshu.com/user/profile/5876137c82ec392876477d49?xhsshare=CopyLink&amp;appuid=5876137c82ec392876477d49&amp;apptime=1559476421"/>
    <hyperlink ref="N9" r:id="rId20" display="https://www.xiaohongshu.com/user/profile/591d50e582ec397ced16b902?xhsshare=CopyLink&amp;appuid=5f6887c9000000000100b2fc&amp;apptime=1682411995"/>
    <hyperlink ref="N39" r:id="rId21" display="https://www.xiaohongshu.com/user/profile/5ff947cb000000000101d8ac?xhsshare=CopyLink&amp;appuid=5f6887c9000000000100b2fc&amp;apptime=1684128014"/>
    <hyperlink ref="N13" r:id="rId22" display="https://www.xiaohongshu.com/user/profile/5fcf254b0000000001000dc1?xhsshare=CopyLink&amp;appuid=5f6887c9000000000100b2fc&amp;apptime=1685499908"/>
    <hyperlink ref="N46" r:id="rId23" display="https://www.xiaohongshu.com/user/profile/5f31dd7e00000000010001fa?xhsshare=CopyLink&amp;appuid=5f6887c9000000000100b2fc&amp;apptime=1688612831"/>
    <hyperlink ref="N42" r:id="rId24" display="https://www.xiaohongshu.com/user/profile/5c9187d70000000011009340?xhsshare=CopyLink&amp;appuid=5f6887c9000000000100b2fc&amp;apptime=1689591526"/>
    <hyperlink ref="N21" r:id="rId25" display="https://www.xiaohongshu.com/user/profile/60afd8b00000000001008d94?xhsshare=CopyLink&amp;appuid=5f6887c9000000000100b2fc&amp;apptime=1690434083"/>
    <hyperlink ref="N32" r:id="rId26" display="https://www.xiaohongshu.com/user/profile/5bb2ee2cbb1c740001fb8731?xhsshare=CopyLink&amp;appuid=5f6887c9000000000100b2fc&amp;apptime=1691569990"/>
    <hyperlink ref="N35" r:id="rId27" display="https://www.xiaohongshu.com/user/profile/5f4dde330000000001005ae2?xhsshare=CopyLink&amp;appuid=5f6887c9000000000100b2fc&amp;apptime=1692254448"/>
    <hyperlink ref="N36" r:id="rId28" display="https://www.xiaohongshu.com/user/profile/5fc9c5480000000001004b0e?xhsshare=CopyLink&amp;appuid=5f6887c9000000000100b2fc&amp;apptime=1692700093"/>
    <hyperlink ref="N59" r:id="rId29" display="https://www.xiaohongshu.com/user/profile/63246d3a00000000230275e1?xhsshare=CopyLink&amp;appuid=5f6887c9000000000100b2fc&amp;apptime=1697786233"/>
    <hyperlink ref="N26" r:id="rId30" display="https://www.xiaohongshu.com/user/profile/5ca7791c000000001703d920?xhsshare=CopyLink&amp;appuid=5f6887c9000000000100b2fc&amp;apptime=1698031379"/>
    <hyperlink ref="N38" r:id="rId31" display="https://www.xiaohongshu.com/user/profile/5f4e07d2000000000101d5eb?xhsshare=CopyLink&amp;appuid=5f6887c9000000000100b2fc&amp;apptime=1699496214"/>
    <hyperlink ref="N58" r:id="rId32" display="https://www.xiaohongshu.com/user/profile/60ab06f4000000000101f416?xhsshare=CopyLink&amp;appuid=5f6887c9000000000100b2fc&amp;apptime=1704441598"/>
    <hyperlink ref="N8" r:id="rId33" display="https://www.xiaohongshu.com/user/profile/5a026bc94eacab345d40800b?xhsshare=CopyLink&amp;appuid=5f6887c9000000000100b2fc&amp;apptime=1706512965"/>
    <hyperlink ref="N29" r:id="rId34" display="https://www.xiaohongshu.com/user/profile/642f09e60000000029011b9e?xhsshare=CopyLink&amp;appuid=5f6887c9000000000100b2fc&amp;apptime=1713341457"/>
    <hyperlink ref="N57" r:id="rId35" display="https://www.xiaohongshu.com/user/profile/65850350000000001b032296?xhsshare=CopyLink&amp;appuid=5f6887c9000000000100b2fc&amp;apptime=1716184285"/>
    <hyperlink ref="N4" r:id="rId36" display="https://www.xiaohongshu.com/user/profile/5d9c4619000000000100b1c0?xhsshare=CopyLink&amp;appuid=5f6887c9000000000100b2fc&amp;apptime=1691991561"/>
    <hyperlink ref="N6" r:id="rId37" display="https://www.xiaohongshu.com/user/profile/5a813a144eacab5b9d72c400?xhsshare=CopyLink&amp;appuid=5f6887c9000000000100b2fc&amp;apptime=1723700841&amp;share_id=704b384e90fa4a349ec425d10d3c571b"/>
    <hyperlink ref="N33" r:id="rId38" display="https://www.xiaohongshu.com/user/profile/5fd1ec020000000001006b13?xhsshare=CopyLink&amp;appuid=5bb0616f7d87110001b9d058&amp;apptime=1660629721"/>
    <hyperlink ref="O36" r:id="rId39" display="https://pgy.xiaohongshu.com/solar/pre-trade/blogger-detail/5fc9c5480000000001004b0e?track_id=kolSearch_6ac73a13dbea4ce99c688d37b52ebfe9&amp;source=Advertiser_Kol" tooltip="https://pgy.xiaohongshu.com/solar/pre-trade/blogger-detail/5fc9c5480000000001004b0e?track_id=kolSearch_6ac73a13dbea4ce99c688d37b52ebfe9&amp;source=Advertiser_Kol"/>
    <hyperlink ref="O16" r:id="rId40" display="https://pgy.xiaohongshu.com/solar/pre-trade/blogger-detail/601d48c2000000000101e66a?track_id=kolSearch_daa082264a03422989c91a4da391e036&amp;source=Advertiser_Kol"/>
    <hyperlink ref="O18" r:id="rId41" display="https://pgy.xiaohongshu.com/solar/pre-trade/blogger-detail/5fbf55ac00000000010054ec?track_id=kolSearch_a8e059b9d6fc4b2ca7c93b6ec5369a22&amp;source=Advertiser_Kol"/>
    <hyperlink ref="O32" r:id="rId42" display="https://pgy.xiaohongshu.com/solar/pre-trade/blogger-detail/5bb2ee2cbb1c740001fb8731?track_id=kolSearch_645edcebb0e6403993bfd65c04c7f79f&amp;source=Advertiser_Kol"/>
    <hyperlink ref="O10" r:id="rId43" display="https://pgy.xiaohongshu.com/solar/pre-trade/blogger-detail/5876137c82ec392876477d49?track_id=kolSearch_69ed0984c006499aadca3a698fa54920&amp;source=Advertiser_Kol"/>
    <hyperlink ref="O5" r:id="rId44" display="https://pgy.xiaohongshu.com/solar/pre-trade/blogger-detail/61a60fe70000000010005673?track_id=kolSearch_4e0020d93e8f4404af08b7b167ef41dd&amp;source=Advertiser_Kol"/>
    <hyperlink ref="O4" r:id="rId45" display="https://pgy.xiaohongshu.com/solar/pre-trade/blogger-detail/5d9c4619000000000100b1c0?track_id=kolSearch_0c134ff113144bb3bd24c1c8e40c9910&amp;source=Advertiser_Kol"/>
    <hyperlink ref="O6" r:id="rId46" display="https://pgy.xiaohongshu.com/solar/pre-trade/blogger-detail/5a813a144eacab5b9d72c400?track_id=kolSearch_a6b116f5d0f1473faccb5233122861d9&amp;source=Advertiser_Kol"/>
    <hyperlink ref="O8" r:id="rId47" display="https://pgy.xiaohongshu.com/solar/pre-trade/blogger-detail/5a026bc94eacab345d40800b?track_id=kolSearch_621d32718c224318be729c41e4b3f0f2&amp;source=Advertiser_Kol"/>
    <hyperlink ref="O20" r:id="rId48" display="https://pgy.xiaohongshu.com/solar/pre-trade/blogger-detail/5fa362a30000000001000747?track_id=kolSearch_29ad4d6b12c840b4b88a7efc15e5f424&amp;source=Advertiser_Kol"/>
    <hyperlink ref="O21" r:id="rId49" display="https://pgy.xiaohongshu.com/solar/pre-trade/blogger-detail/60afd8b00000000001008d94?track_id=kolSearch_bf55ff7945af48ff9d4168c02a229a35&amp;source=Advertiser_Kol"/>
    <hyperlink ref="O38" r:id="rId50" display="https://pgy.xiaohongshu.com/solar/pre-trade/blogger-detail/5f4e07d2000000000101d5eb?track_id=kolSearch_15a6e0fabc364f898086f65ebde63732&amp;source=Advertiser_Kol"/>
    <hyperlink ref="O39" r:id="rId51" display="https://pgy.xiaohongshu.com/solar/pre-trade/blogger-detail/5ff947cb000000000101d8ac?track_id=kolSearch_2e20515045d445fb82f92f1edf5d58eb&amp;source=Advertiser_Kol"/>
    <hyperlink ref="O35" r:id="rId52" display="https://pgy.xiaohongshu.com/solar/pre-trade/blogger-detail/5f4dde330000000001005ae2?track_id=kolSearch_899ac3c3487c49548f9d6b3634955aae&amp;source=Advertiser_Kol"/>
    <hyperlink ref="O40" r:id="rId53" display="https://pgy.xiaohongshu.com/solar/pre-trade/blogger-detail/5f508cb8000000000100baa4?track_id=kolSearch_61be879a4c4d4aa3b11788d1a18e6bff&amp;source=Advertiser_Kol"/>
    <hyperlink ref="O41" r:id="rId54" display="https://pgy.xiaohongshu.com/solar/pre-trade/blogger-detail/5ed4909b0000000001002d4f?track_id=kolSearch_34a6ace8a0a54d8bb1a4191e1c7b5e12&amp;source=Advertiser_Kol"/>
    <hyperlink ref="O7" r:id="rId55" display="https://pgy.xiaohongshu.com/solar/pre-trade/blogger-detail/5b001a854eacab46d3308d84?track_id=kolSearch_ab766fc69d734a6c911cb7086a3347fb&amp;source=Advertiser_Kol"/>
    <hyperlink ref="O45" r:id="rId56" display="https://pgy.xiaohongshu.com/solar/pre-trade/blogger-detail/63427e74000000001802fe3e?track_id=kolSearch_cfb71f6ef9f944f48cdbf947084baea3&amp;source=Advertiser_Kol" tooltip="https://pgy.xiaohongshu.com/solar/pre-trade/blogger-detail/63427e74000000001802fe3e?track_id=kolSearch_cfb71f6ef9f944f48cdbf947084baea3&amp;source=Advertiser_Kol"/>
    <hyperlink ref="O42" r:id="rId57" display="https://pgy.xiaohongshu.com/solar/pre-trade/blogger-detail/5c9187d70000000011009340?track_id=kolSearch_3c260d82929647958415a94a180bb98d&amp;source=Advertiser_Kol"/>
    <hyperlink ref="O43" r:id="rId58" display="https://pgy.xiaohongshu.com/solar/pre-trade/blogger-detail/60c9d9cb0000000001009e2a?track_id=kolSearch_80e82a9105a04fa381f4159f3b27538e&amp;source=Advertiser_Kol"/>
    <hyperlink ref="O25" r:id="rId59" display="https://pgy.xiaohongshu.com/solar/pre-trade/blogger-detail/5a9e4fd2e8ac2b28058cc6bc?track_id=kolSearch_3eea07c3e7a24c3f8cc3373d9bf49ae2&amp;source=Advertiser_Kol"/>
    <hyperlink ref="O24" r:id="rId60" display="https://pgy.xiaohongshu.com/solar/pre-trade/blogger-detail/5c886d4a000000001103062a?track_id=kolSearch_aec86d67bd964e3995787b9924f8d884&amp;source=Advertiser_Kol"/>
    <hyperlink ref="O26" r:id="rId61" display="https://pgy.xiaohongshu.com/solar/pre-trade/blogger-detail/5ca7791c000000001703d920?track_id=kolSearch_d3fcc24a5ddf477d979bf14e3fe5ffed&amp;source=Advertiser_Kol"/>
    <hyperlink ref="O27" r:id="rId62" display="https://pgy.xiaohongshu.com/solar/pre-trade/blogger-detail/5f2e0669000000000101c68b?track_id=kolSearch_366a708dbb8a4624baf7c246bbe47c2b&amp;source=Advertiser_Kol"/>
    <hyperlink ref="O52" r:id="rId63" display="https://pgy.xiaohongshu.com/solar/pre-trade/blogger-detail/612f5616000000000201db0b?track_id=kolSearch_9e73eb1875e74f989bceae0bb29f7fd6&amp;source=Advertiser_Kol"/>
    <hyperlink ref="O13" r:id="rId64" display="https://pgy.xiaohongshu.com/solar/pre-trade/blogger-detail/5fcf254b0000000001000dc1?track_id=kolSearch_6b9d38da35fa40eba6b620d4a633d09f&amp;source=Advertiser_Kol"/>
    <hyperlink ref="O30" r:id="rId65" display="https://pgy.xiaohongshu.com/solar/pre-trade/blogger-detail/5b4f5fcb11be106513a09b1c?track_id=kolSearch_5898afae8ddc45e5b64749b791f59335&amp;source=Advertiser_Kol"/>
    <hyperlink ref="O9" r:id="rId66" display="https://pgy.xiaohongshu.com/solar/pre-trade/blogger-detail/591d50e582ec397ced16b902?track_id=kolSearch_f2607d75dc404d26836275650a90d789&amp;source=Advertiser_Kol"/>
    <hyperlink ref="O29" r:id="rId67" display="https://pgy.xiaohongshu.com/solar/pre-trade/blogger-detail/642f09e60000000029011b9e?track_id=kolSearch_9f32b438ea584760ba43c1cf96f2fb9b&amp;source=Advertiser_Kol"/>
    <hyperlink ref="O46" r:id="rId68" display="https://pgy.xiaohongshu.com/solar/pre-trade/blogger-detail/5f31dd7e00000000010001fa?track_id=kolSearch_a1b332f63bf14fc8b280e0cb0a076565&amp;source=Advertiser_Kol"/>
    <hyperlink ref="O57" r:id="rId69" display="https://pgy.xiaohongshu.com/solar/pre-trade/blogger-detail/65850350000000001b032296?track_id=kolSearch_e5fdf4f94e694e1a9bde6a2478d7f6fc&amp;source=Advertiser_Kol"/>
    <hyperlink ref="O53" r:id="rId70" display="https://pgy.xiaohongshu.com/solar/pre-trade/blogger-detail/5b2de90311be1024e027ab8c?track_id=kolSearch_3158e6a1bc47489795180c8dfe191109&amp;source=Advertiser_Kol"/>
    <hyperlink ref="O23" r:id="rId71" display="https://pgy.xiaohongshu.com/solar/pre-trade/blogger-detail/5c6836cc0000000011031924?track_id=kolSearch_f4e808acff004094b33d62e33fdcf8c6&amp;source=Advertiser_Kol" tooltip="https://pgy.xiaohongshu.com/solar/pre-trade/blogger-detail/5c6836cc0000000011031924?track_id=kolSearch_f4e808acff004094b33d62e33fdcf8c6&amp;source=Advertiser_Kol"/>
    <hyperlink ref="O58" r:id="rId72" display="https://pgy.xiaohongshu.com/solar/pre-trade/blogger-detail/60ab06f4000000000101f416?track_id=kolSearch_ca875e20646f47188b653093cc06d6ec&amp;source=Advertiser_Kol"/>
    <hyperlink ref="O59" r:id="rId73" display="https://pgy.xiaohongshu.com/solar/pre-trade/blogger-detail/63246d3a00000000230275e1?track_id=kolSearch_db75c6afaca64d6c96f30897f7874ac9&amp;source=Advertiser_Kol"/>
    <hyperlink ref="O33" r:id="rId74" display="https://pgy.xiaohongshu.com/solar/pre-trade/blogger-detail/5fd1ec020000000001006b13?track_id=kolSearch_7e9d11a4e305418d8c5f4c52fd234ca4&amp;source=Advertiser_Kol"/>
    <hyperlink ref="O14" r:id="rId75" display="https://pgy.xiaohongshu.com/solar/pre-trade/blogger-detail/5cb427010000000017018af8?track_id=kolSearch_ab957022be6744d494f8577207c844f9&amp;source=Advertiser_Kol"/>
    <hyperlink ref="N54" r:id="rId76" display="https://www.xiaohongshu.com/user/profile/58ca16696a6a69748a40c696"/>
    <hyperlink ref="N56" r:id="rId77" display="https://www.xiaohongshu.com/user/profile/61e6675f0000000010009eae?xsec_token=YB2s8l_V2djyIJyBQa5RhPCuoJYQ7-LXmiZab8AlHuakw=&amp;xsec_source=app_share&amp;xhsshare=CopyLink&amp;appuid=5f6887c9000000000100b2fc&amp;apptime=1739338351&amp;share_id=53ed135c0c7b4467ae6c6c23e888e222" tooltip="https://www.xiaohongshu.com/user/profile/61e6675f0000000010009eae?xsec_token=YB2s8l_V2djyIJyBQa5RhPCuoJYQ7-LXmiZab8AlHuakw=&amp;xsec_source=app_share&amp;xhsshare=CopyLink&amp;appuid=5f6887c9000000000100b2fc&amp;apptime=1739338351&amp;share_id=53ed135c0c7b4467ae6c6c23e888e22"/>
    <hyperlink ref="O54" r:id="rId78" display="https://pgy.xiaohongshu.com/solar/pre-trade/blogger-detail/58ca16696a6a69748a40c696?track_id=kolSearch_1689b999699e4ce5a4f961b85cdcb912&amp;source=Advertiser_Kol"/>
    <hyperlink ref="O56" r:id="rId79" display="https://pgy.xiaohongshu.com/solar/pre-trade/blogger-detail/61e6675f0000000010009eae?track_id="/>
    <hyperlink ref="O12" r:id="rId80" display="https://pgy.xiaohongshu.com/solar/pre-trade/blogger-detail/5bb1fa139cb8ac00010e9eb6?track_id="/>
    <hyperlink ref="N12" r:id="rId81" display="https://www.xiaohongshu.com/user/profile/5bb1fa139cb8ac00010e9eb6?xsec_token=YBDUZ4c5dcRd_UcofHvuhGrjkoio2q83NCeGSNsncG5E0=&amp;xsec_source=app_share&amp;xhsshare=CopyLink&amp;appuid=5f6887c9000000000100b2fc&amp;apptime=1741680725&amp;share_id=46d09b047e754326a2f7c6016fc59d94"/>
    <hyperlink ref="N22" r:id="rId82" display="https://www.xiaohongshu.com/user/profile/5c45ebaa000000001200329e?xsec_token=YBsiOG2ebavLhZJW98-L4nmYd90amYoH0Q5uj6ZIlEbrc=&amp;xsec_source=app_share&amp;xhsshare=CopyLink&amp;appuid=5f6887c9000000000100b2fc&amp;apptime=1750659247&amp;share_id=b27eb940d3854fa088e551b6f711bc1e"/>
    <hyperlink ref="O22" r:id="rId83" display="https://pgy.xiaohongshu.com/solar/pre-trade/blogger-detail/5c45ebaa000000001200329e?track_id=kolSearch_9d9ee6e9b8ba4d7388a1ed4c03d910d5&amp;source=Advertiser_Kol"/>
    <hyperlink ref="N28" r:id="rId84" display="https://www.xiaohongshu.com/user/profile/5b5d36c7e8ac2b35b1e6213d?xsec_token=YBEepMIBK0zQl-4EoDBDhFSBp6V1pAbYYDR-B5Msn_vVA=&amp;xsec_source=app_share&amp;xhsshare=CopyLink&amp;appuid=5f6887c9000000000100b2fc&amp;apptime=1752820243&amp;share_id=cdd7a7183a7d41f289decdc3a8373b29"/>
    <hyperlink ref="O28" r:id="rId85" display="https://pgy.xiaohongshu.com/solar/pre-trade/blogger-detail/5b5d36c7e8ac2b35b1e6213d?track_id="/>
    <hyperlink ref="N49" r:id="rId86" display="https://www.xiaohongshu.com/user/profile/6178e364000000001f0386d1?xsec_token=YBQJZAZCsBmKOQNdleZn1Y1FWNdUlZCwV0QNxLjb-Lf_U=&amp;xsec_source=app_share&amp;xhsshare=CopyLink&amp;appuid=5f6887c9000000000100b2fc&amp;apptime=1753955757&amp;share_id=b46535965ac34929a7087838894f56ba"/>
    <hyperlink ref="N55" r:id="rId87" display="https://www.xiaohongshu.com/user/profile/63a6fc520000000027029c8d?xsec_token=YBMKUE5zHWtuVK9CJ4WxAUL4awILuSztcKGMn6ESd9LG0=&amp;xsec_source=app_share&amp;xhsshare=CopyLink&amp;appuid=5f6887c9000000000100b2fc&amp;apptime=1754877284&amp;share_id=af149f03946845b1b5f6d29b9273ef69"/>
    <hyperlink ref="O55" r:id="rId88" display="https://pgy.xiaohongshu.com/solar/pre-trade/blogger-detail/63a6fc520000000027029c8d?track_id="/>
    <hyperlink ref="N50" r:id="rId89" display="https://xhslink.com/m/5UgcvtObNbD"/>
    <hyperlink ref="O50" r:id="rId90" display="https://pgy.xiaohongshu.com/solar/pre-trade/blogger-detail/63135ed0000000001200e086?track_id="/>
    <hyperlink ref="N15" r:id="rId91" display="https://www.xiaohongshu.com/user/profile/5988a08250c4b438e2221e0d" tooltip="https://www.xiaohongshu.com/user/profile/5988a08250c4b438e2221e0d"/>
    <hyperlink ref="O15" r:id="rId92" display="https://pgy.xiaohongshu.com/solar/pre-trade/blogger-detail/5988a08250c4b438e2221e0d?track_id=kolSearch_968f0410d7154a91a274acdd686dea65&amp;source=Advertiser_Kol"/>
    <hyperlink ref="N17" r:id="rId93" display="https://www.xiaohongshu.com/user/profile/5f685cfe0000000001007dcb"/>
    <hyperlink ref="O17" r:id="rId94" display="https://pgy.xiaohongshu.com/solar/pre-trade/blogger-detail/5f685cfe0000000001007dcb?track_id="/>
    <hyperlink ref="N47" r:id="rId95" display="https://www.xiaohongshu.com/user/profile/664b850500000000070048eb"/>
    <hyperlink ref="O47" r:id="rId96" display="https://pgy.xiaohongshu.com/solar/pre-trade/blogger-detail/664b850500000000070048eb?track_id="/>
    <hyperlink ref="O37" r:id="rId97" display="https://pgy.xiaohongshu.com/solar/pre-trade/blogger-detail/5abb4021e8ac2b7f7e18a76c?track_id=kolSearch_91b40460324143b6abd7c0914a1118ed&amp;source=Advertiser_Kol"/>
    <hyperlink ref="N37" r:id="rId98" display="https://www.xiaohongshu.com/user/profile/5abb4021e8ac2b7f7e18a76c"/>
    <hyperlink ref="N19" r:id="rId99" display="https://xhslink.com/m/9bw3tqf40tn" tooltip="https://xhslink.com/m/9bw3tqf40tn"/>
    <hyperlink ref="O19" r:id="rId100" display="https://pgy.xiaohongshu.com/solar/pre-trade/blogger-detail/611d15d0000000000100ad88?track_id=kolSearch_417f4eb217844f4c9e144f13e6dea512&amp;source=Advertiser_Kol"/>
    <hyperlink ref="N31" r:id="rId101" display="https://xhslink.com/m/1X5PzJxj7OU"/>
  </hyperlink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6"/>
  </sheetPr>
  <dimension ref="A1:I24"/>
  <sheetViews>
    <sheetView workbookViewId="0">
      <pane ySplit="2" topLeftCell="A3" activePane="bottomLeft" state="frozen"/>
      <selection/>
      <selection pane="bottomLeft" activeCell="J7" sqref="J7"/>
    </sheetView>
  </sheetViews>
  <sheetFormatPr defaultColWidth="9.81666666666667" defaultRowHeight="13.5"/>
  <cols>
    <col min="1" max="1" width="9" style="33"/>
    <col min="2" max="3" width="7.625" style="33" customWidth="1"/>
    <col min="4" max="4" width="33.2666666666667" style="33" customWidth="1"/>
    <col min="5" max="5" width="16.2583333333333" style="33" customWidth="1"/>
    <col min="6" max="7" width="15.1416666666667" style="33" customWidth="1"/>
    <col min="8" max="8" width="20" style="35" customWidth="1"/>
    <col min="9" max="9" width="11.3833333333333" style="33" customWidth="1"/>
    <col min="10" max="16370" width="9" style="33"/>
    <col min="16371" max="16375" width="9.64166666666667" style="33"/>
    <col min="16376" max="16384" width="9.81666666666667" style="33"/>
  </cols>
  <sheetData>
    <row r="1" s="33" customFormat="1" ht="70" customHeight="1" spans="1:9">
      <c r="A1" s="7" t="s">
        <v>1539</v>
      </c>
      <c r="B1" s="7"/>
      <c r="C1" s="7"/>
      <c r="D1" s="7"/>
      <c r="E1" s="7"/>
      <c r="F1" s="7"/>
      <c r="G1" s="7"/>
      <c r="H1" s="7"/>
      <c r="I1" s="7"/>
    </row>
    <row r="2" s="1" customFormat="1" ht="30" customHeight="1" spans="1:9">
      <c r="A2" s="85" t="s">
        <v>1540</v>
      </c>
      <c r="B2" s="85" t="s">
        <v>7</v>
      </c>
      <c r="C2" s="85" t="s">
        <v>9</v>
      </c>
      <c r="D2" s="85" t="s">
        <v>1541</v>
      </c>
      <c r="E2" s="85" t="s">
        <v>1542</v>
      </c>
      <c r="F2" s="86" t="s">
        <v>1543</v>
      </c>
      <c r="G2" s="85" t="s">
        <v>1544</v>
      </c>
      <c r="H2" s="85" t="s">
        <v>1545</v>
      </c>
      <c r="I2" s="85" t="s">
        <v>1546</v>
      </c>
    </row>
    <row r="3" s="1" customFormat="1" ht="40" customHeight="1" spans="1:9">
      <c r="A3" s="67" t="s">
        <v>1232</v>
      </c>
      <c r="B3" s="44">
        <v>1</v>
      </c>
      <c r="C3" s="44" t="str">
        <f>_xlfn.DISPIMG("ID_22FABF50CE8D4FE4A2A41D38745F4816",1)</f>
        <v>=DISPIMG("ID_22FABF50CE8D4FE4A2A41D38745F4816",1)</v>
      </c>
      <c r="D3" s="43" t="s">
        <v>32</v>
      </c>
      <c r="E3" s="43" t="s">
        <v>1547</v>
      </c>
      <c r="F3" s="87">
        <v>2183550</v>
      </c>
      <c r="G3" s="47">
        <v>1800000</v>
      </c>
      <c r="H3" s="47">
        <v>400000</v>
      </c>
      <c r="I3" s="44" t="s">
        <v>1548</v>
      </c>
    </row>
    <row r="4" s="1" customFormat="1" ht="40" customHeight="1" spans="1:9">
      <c r="A4" s="62" t="s">
        <v>1091</v>
      </c>
      <c r="B4" s="38">
        <v>2</v>
      </c>
      <c r="C4" s="38" t="str">
        <f>_xlfn.DISPIMG("ID_AAAD5394AEDE4534B3B6770F136166B8",1)</f>
        <v>=DISPIMG("ID_AAAD5394AEDE4534B3B6770F136166B8",1)</v>
      </c>
      <c r="D4" s="88" t="s">
        <v>1549</v>
      </c>
      <c r="E4" s="88" t="s">
        <v>1550</v>
      </c>
      <c r="F4" s="89">
        <v>429981</v>
      </c>
      <c r="G4" s="41">
        <v>3000</v>
      </c>
      <c r="H4" s="41">
        <v>2000</v>
      </c>
      <c r="I4" s="38" t="s">
        <v>1548</v>
      </c>
    </row>
    <row r="5" s="1" customFormat="1" ht="40" customHeight="1" spans="1:9">
      <c r="A5" s="67" t="s">
        <v>924</v>
      </c>
      <c r="B5" s="44">
        <v>3</v>
      </c>
      <c r="C5" s="44" t="str">
        <f>_xlfn.DISPIMG("ID_E5744359F8904C5A8E437F348DF11B4C",1)</f>
        <v>=DISPIMG("ID_E5744359F8904C5A8E437F348DF11B4C",1)</v>
      </c>
      <c r="D5" s="43" t="s">
        <v>1551</v>
      </c>
      <c r="E5" s="43" t="s">
        <v>1552</v>
      </c>
      <c r="F5" s="87">
        <v>48914</v>
      </c>
      <c r="G5" s="47">
        <v>25000</v>
      </c>
      <c r="H5" s="47" t="s">
        <v>40</v>
      </c>
      <c r="I5" s="44" t="s">
        <v>1553</v>
      </c>
    </row>
    <row r="6" s="1" customFormat="1" ht="40" customHeight="1" spans="1:9">
      <c r="A6" s="62" t="s">
        <v>924</v>
      </c>
      <c r="B6" s="38">
        <v>4</v>
      </c>
      <c r="C6" s="38" t="str">
        <f>_xlfn.DISPIMG("ID_13B7E4DB04D24FA7B0DCF78C29F469A4",1)</f>
        <v>=DISPIMG("ID_13B7E4DB04D24FA7B0DCF78C29F469A4",1)</v>
      </c>
      <c r="D6" s="88" t="s">
        <v>1554</v>
      </c>
      <c r="E6" s="88" t="s">
        <v>1555</v>
      </c>
      <c r="F6" s="89">
        <v>47037</v>
      </c>
      <c r="G6" s="41">
        <v>48000</v>
      </c>
      <c r="H6" s="41" t="s">
        <v>40</v>
      </c>
      <c r="I6" s="38" t="s">
        <v>1548</v>
      </c>
    </row>
    <row r="7" s="1" customFormat="1" ht="40" customHeight="1" spans="1:9">
      <c r="A7" s="67" t="s">
        <v>1556</v>
      </c>
      <c r="B7" s="44">
        <v>5</v>
      </c>
      <c r="C7" s="44" t="str">
        <f>_xlfn.DISPIMG("ID_A934BBBA568A4A7AAC0C7DC4E37B6F9F",1)</f>
        <v>=DISPIMG("ID_A934BBBA568A4A7AAC0C7DC4E37B6F9F",1)</v>
      </c>
      <c r="D7" s="43" t="s">
        <v>1025</v>
      </c>
      <c r="E7" s="43" t="s">
        <v>1557</v>
      </c>
      <c r="F7" s="87">
        <v>18068</v>
      </c>
      <c r="G7" s="47">
        <v>2000</v>
      </c>
      <c r="H7" s="47">
        <v>1000</v>
      </c>
      <c r="I7" s="44" t="s">
        <v>1548</v>
      </c>
    </row>
    <row r="8" s="1" customFormat="1" ht="40" customHeight="1" spans="1:9">
      <c r="A8" s="62" t="s">
        <v>293</v>
      </c>
      <c r="B8" s="38">
        <v>6</v>
      </c>
      <c r="C8" s="88" t="str">
        <f>_xlfn.DISPIMG("ID_CD0F50CCCD824C92AFDEBB40BF3807E8",1)</f>
        <v>=DISPIMG("ID_CD0F50CCCD824C92AFDEBB40BF3807E8",1)</v>
      </c>
      <c r="D8" s="88" t="s">
        <v>1558</v>
      </c>
      <c r="E8" s="88" t="s">
        <v>1559</v>
      </c>
      <c r="F8" s="89">
        <v>121714</v>
      </c>
      <c r="G8" s="41">
        <v>60000</v>
      </c>
      <c r="H8" s="41" t="s">
        <v>40</v>
      </c>
      <c r="I8" s="38" t="s">
        <v>1548</v>
      </c>
    </row>
    <row r="9" s="1" customFormat="1" ht="40" customHeight="1" spans="1:9">
      <c r="A9" s="67" t="s">
        <v>293</v>
      </c>
      <c r="B9" s="44">
        <v>7</v>
      </c>
      <c r="C9" s="44" t="str">
        <f>_xlfn.DISPIMG("ID_A962B447B9374ACDB54DA6072F69A698",1)</f>
        <v>=DISPIMG("ID_A962B447B9374ACDB54DA6072F69A698",1)</v>
      </c>
      <c r="D9" s="43" t="s">
        <v>247</v>
      </c>
      <c r="E9" s="43" t="s">
        <v>1560</v>
      </c>
      <c r="F9" s="87">
        <v>849191</v>
      </c>
      <c r="G9" s="47">
        <v>150000</v>
      </c>
      <c r="H9" s="47">
        <v>15000</v>
      </c>
      <c r="I9" s="44" t="s">
        <v>1548</v>
      </c>
    </row>
    <row r="10" s="1" customFormat="1" ht="40" customHeight="1" spans="1:9">
      <c r="A10" s="62" t="s">
        <v>293</v>
      </c>
      <c r="B10" s="38">
        <v>8</v>
      </c>
      <c r="C10" s="38" t="str">
        <f>_xlfn.DISPIMG("ID_3F01711F02924B928AF22A3322088269",1)</f>
        <v>=DISPIMG("ID_3F01711F02924B928AF22A3322088269",1)</v>
      </c>
      <c r="D10" s="88" t="s">
        <v>258</v>
      </c>
      <c r="E10" s="88" t="s">
        <v>1561</v>
      </c>
      <c r="F10" s="89">
        <v>471997</v>
      </c>
      <c r="G10" s="41">
        <v>200000</v>
      </c>
      <c r="H10" s="41">
        <v>25000</v>
      </c>
      <c r="I10" s="38" t="s">
        <v>1548</v>
      </c>
    </row>
    <row r="11" s="1" customFormat="1" ht="40" customHeight="1" spans="1:9">
      <c r="A11" s="67" t="s">
        <v>293</v>
      </c>
      <c r="B11" s="44">
        <v>9</v>
      </c>
      <c r="C11" s="44" t="str">
        <f>_xlfn.DISPIMG("ID_96C9A41FE3F94ADC8CC27D709951F53C",1)</f>
        <v>=DISPIMG("ID_96C9A41FE3F94ADC8CC27D709951F53C",1)</v>
      </c>
      <c r="D11" s="43" t="s">
        <v>1562</v>
      </c>
      <c r="E11" s="43" t="s">
        <v>1563</v>
      </c>
      <c r="F11" s="87">
        <v>138305</v>
      </c>
      <c r="G11" s="47">
        <v>60000</v>
      </c>
      <c r="H11" s="47">
        <v>10000</v>
      </c>
      <c r="I11" s="44" t="s">
        <v>1548</v>
      </c>
    </row>
    <row r="12" s="1" customFormat="1" ht="40" customHeight="1" spans="1:9">
      <c r="A12" s="62" t="s">
        <v>293</v>
      </c>
      <c r="B12" s="38">
        <v>10</v>
      </c>
      <c r="C12" s="38" t="str">
        <f>_xlfn.DISPIMG("ID_51D64287C69C4E72B4DC568CA5C0A8DB",1)</f>
        <v>=DISPIMG("ID_51D64287C69C4E72B4DC568CA5C0A8DB",1)</v>
      </c>
      <c r="D12" s="88" t="s">
        <v>1564</v>
      </c>
      <c r="E12" s="88" t="s">
        <v>1565</v>
      </c>
      <c r="F12" s="89">
        <v>170974</v>
      </c>
      <c r="G12" s="41">
        <v>98000</v>
      </c>
      <c r="H12" s="41">
        <v>15000</v>
      </c>
      <c r="I12" s="38" t="s">
        <v>1553</v>
      </c>
    </row>
    <row r="13" s="1" customFormat="1" ht="40" customHeight="1" spans="1:9">
      <c r="A13" s="67" t="s">
        <v>293</v>
      </c>
      <c r="B13" s="44">
        <v>11</v>
      </c>
      <c r="C13" s="44" t="str">
        <f>_xlfn.DISPIMG("ID_A01A56B69EC04AEAA2EB34AE6E1AFE2E",1)</f>
        <v>=DISPIMG("ID_A01A56B69EC04AEAA2EB34AE6E1AFE2E",1)</v>
      </c>
      <c r="D13" s="43" t="s">
        <v>224</v>
      </c>
      <c r="E13" s="43" t="s">
        <v>1566</v>
      </c>
      <c r="F13" s="87">
        <v>65587</v>
      </c>
      <c r="G13" s="47">
        <v>5000</v>
      </c>
      <c r="H13" s="47">
        <v>1000</v>
      </c>
      <c r="I13" s="44" t="s">
        <v>1548</v>
      </c>
    </row>
    <row r="14" s="1" customFormat="1" ht="40" customHeight="1" spans="1:9">
      <c r="A14" s="62" t="s">
        <v>293</v>
      </c>
      <c r="B14" s="38">
        <v>12</v>
      </c>
      <c r="C14" s="38" t="str">
        <f>_xlfn.DISPIMG("ID_C0369C1D442B4E6DBE6E0A428034CC10",1)</f>
        <v>=DISPIMG("ID_C0369C1D442B4E6DBE6E0A428034CC10",1)</v>
      </c>
      <c r="D14" s="88" t="s">
        <v>168</v>
      </c>
      <c r="E14" s="88" t="s">
        <v>1567</v>
      </c>
      <c r="F14" s="89">
        <v>77880</v>
      </c>
      <c r="G14" s="41">
        <v>25000</v>
      </c>
      <c r="H14" s="41">
        <v>1000</v>
      </c>
      <c r="I14" s="38" t="s">
        <v>1548</v>
      </c>
    </row>
    <row r="15" s="1" customFormat="1" ht="40" customHeight="1" spans="1:9">
      <c r="A15" s="67" t="s">
        <v>293</v>
      </c>
      <c r="B15" s="44">
        <v>13</v>
      </c>
      <c r="C15" s="44" t="str">
        <f>_xlfn.DISPIMG("ID_FB1725C3E8784889B3C65B0A2BFFCEF2",1)</f>
        <v>=DISPIMG("ID_FB1725C3E8784889B3C65B0A2BFFCEF2",1)</v>
      </c>
      <c r="D15" s="43" t="s">
        <v>279</v>
      </c>
      <c r="E15" s="43" t="s">
        <v>1568</v>
      </c>
      <c r="F15" s="87">
        <v>131082</v>
      </c>
      <c r="G15" s="47">
        <v>30000</v>
      </c>
      <c r="H15" s="47">
        <v>5000</v>
      </c>
      <c r="I15" s="44" t="s">
        <v>1548</v>
      </c>
    </row>
    <row r="16" s="1" customFormat="1" ht="40" customHeight="1" spans="1:9">
      <c r="A16" s="62" t="s">
        <v>293</v>
      </c>
      <c r="B16" s="38">
        <v>14</v>
      </c>
      <c r="C16" s="38" t="str">
        <f>_xlfn.DISPIMG("ID_DAEAD40171974277989C87D4F39C2C7E",1)</f>
        <v>=DISPIMG("ID_DAEAD40171974277989C87D4F39C2C7E",1)</v>
      </c>
      <c r="D16" s="88" t="s">
        <v>1569</v>
      </c>
      <c r="E16" s="88" t="s">
        <v>1570</v>
      </c>
      <c r="F16" s="89">
        <v>53785</v>
      </c>
      <c r="G16" s="41">
        <v>10000</v>
      </c>
      <c r="H16" s="41">
        <v>1000</v>
      </c>
      <c r="I16" s="38" t="s">
        <v>1548</v>
      </c>
    </row>
    <row r="17" s="1" customFormat="1" ht="40" customHeight="1" spans="1:9">
      <c r="A17" s="67" t="s">
        <v>435</v>
      </c>
      <c r="B17" s="44">
        <v>15</v>
      </c>
      <c r="C17" s="44" t="str">
        <f>_xlfn.DISPIMG("ID_15DF3A6DBEC148C686645E22E40F4E4C",1)</f>
        <v>=DISPIMG("ID_15DF3A6DBEC148C686645E22E40F4E4C",1)</v>
      </c>
      <c r="D17" s="43" t="s">
        <v>1571</v>
      </c>
      <c r="E17" s="43" t="s">
        <v>1572</v>
      </c>
      <c r="F17" s="87">
        <v>75594</v>
      </c>
      <c r="G17" s="47">
        <v>10000</v>
      </c>
      <c r="H17" s="47" t="s">
        <v>40</v>
      </c>
      <c r="I17" s="44" t="s">
        <v>1548</v>
      </c>
    </row>
    <row r="18" s="1" customFormat="1" ht="40" customHeight="1" spans="1:9">
      <c r="A18" s="62" t="s">
        <v>435</v>
      </c>
      <c r="B18" s="38">
        <v>16</v>
      </c>
      <c r="C18" s="38" t="str">
        <f>_xlfn.DISPIMG("ID_F5EA9D11E33840EFBE3B8CBD3192C044",1)</f>
        <v>=DISPIMG("ID_F5EA9D11E33840EFBE3B8CBD3192C044",1)</v>
      </c>
      <c r="D18" s="88" t="s">
        <v>1573</v>
      </c>
      <c r="E18" s="88" t="s">
        <v>1574</v>
      </c>
      <c r="F18" s="89">
        <v>23279</v>
      </c>
      <c r="G18" s="41">
        <v>10000</v>
      </c>
      <c r="H18" s="41">
        <v>500</v>
      </c>
      <c r="I18" s="38" t="s">
        <v>1548</v>
      </c>
    </row>
    <row r="19" s="1" customFormat="1" ht="40" customHeight="1" spans="1:9">
      <c r="A19" s="67" t="s">
        <v>435</v>
      </c>
      <c r="B19" s="44">
        <v>17</v>
      </c>
      <c r="C19" s="44" t="str">
        <f>_xlfn.DISPIMG("ID_2484A8D868EC425E8939737377034235",1)</f>
        <v>=DISPIMG("ID_2484A8D868EC425E8939737377034235",1)</v>
      </c>
      <c r="D19" s="43" t="s">
        <v>1575</v>
      </c>
      <c r="E19" s="43" t="s">
        <v>1576</v>
      </c>
      <c r="F19" s="87">
        <v>4217</v>
      </c>
      <c r="G19" s="47" t="s">
        <v>40</v>
      </c>
      <c r="H19" s="47">
        <v>500</v>
      </c>
      <c r="I19" s="44" t="s">
        <v>1553</v>
      </c>
    </row>
    <row r="20" s="1" customFormat="1" ht="40" customHeight="1" spans="1:9">
      <c r="A20" s="62" t="s">
        <v>1577</v>
      </c>
      <c r="B20" s="38">
        <v>18</v>
      </c>
      <c r="C20" t="str">
        <f>_xlfn.DISPIMG("ID_9CCC04877E4E49F7946F3119072DDBCD",1)</f>
        <v>=DISPIMG("ID_9CCC04877E4E49F7946F3119072DDBCD",1)</v>
      </c>
      <c r="D20" s="88" t="s">
        <v>1578</v>
      </c>
      <c r="E20" s="88" t="s">
        <v>1579</v>
      </c>
      <c r="F20" s="89">
        <v>171514</v>
      </c>
      <c r="G20" s="41">
        <v>4176</v>
      </c>
      <c r="H20" s="41" t="s">
        <v>40</v>
      </c>
      <c r="I20" s="38" t="s">
        <v>1548</v>
      </c>
    </row>
    <row r="21" s="1" customFormat="1" ht="40" customHeight="1" spans="1:9">
      <c r="A21" s="67" t="s">
        <v>1577</v>
      </c>
      <c r="B21" s="44">
        <v>19</v>
      </c>
      <c r="C21" s="44" t="str">
        <f>_xlfn.DISPIMG("ID_DA11735B583344F4A82F2C67BAA8654D",1)</f>
        <v>=DISPIMG("ID_DA11735B583344F4A82F2C67BAA8654D",1)</v>
      </c>
      <c r="D21" s="43" t="s">
        <v>1580</v>
      </c>
      <c r="E21" s="43" t="s">
        <v>1581</v>
      </c>
      <c r="F21" s="87">
        <v>168010</v>
      </c>
      <c r="G21" s="47">
        <v>25000</v>
      </c>
      <c r="H21" s="47">
        <v>5000</v>
      </c>
      <c r="I21" s="44" t="s">
        <v>1548</v>
      </c>
    </row>
    <row r="22" s="1" customFormat="1" ht="40" customHeight="1" spans="1:9">
      <c r="A22" s="62" t="s">
        <v>1577</v>
      </c>
      <c r="B22" s="38">
        <v>20</v>
      </c>
      <c r="C22" s="38" t="str">
        <f>_xlfn.DISPIMG("ID_F845F0F5143C4371838AA6AAD6CD942F",1)</f>
        <v>=DISPIMG("ID_F845F0F5143C4371838AA6AAD6CD942F",1)</v>
      </c>
      <c r="D22" s="88" t="s">
        <v>1582</v>
      </c>
      <c r="E22" s="88" t="s">
        <v>1583</v>
      </c>
      <c r="F22" s="89">
        <v>79497</v>
      </c>
      <c r="G22" s="41">
        <v>20000</v>
      </c>
      <c r="H22" s="41">
        <v>2000</v>
      </c>
      <c r="I22" s="38" t="s">
        <v>1548</v>
      </c>
    </row>
    <row r="23" s="1" customFormat="1" ht="40" customHeight="1" spans="1:9">
      <c r="A23" s="67" t="s">
        <v>1577</v>
      </c>
      <c r="B23" s="44">
        <v>21</v>
      </c>
      <c r="C23" s="44" t="str">
        <f>_xlfn.DISPIMG("ID_A290CB62DF864653937157D52A36932D",1)</f>
        <v>=DISPIMG("ID_A290CB62DF864653937157D52A36932D",1)</v>
      </c>
      <c r="D23" s="43" t="s">
        <v>1584</v>
      </c>
      <c r="E23" s="43" t="s">
        <v>1585</v>
      </c>
      <c r="F23" s="87">
        <v>67324</v>
      </c>
      <c r="G23" s="47">
        <v>20000</v>
      </c>
      <c r="H23" s="47">
        <v>3000</v>
      </c>
      <c r="I23" s="44" t="s">
        <v>1553</v>
      </c>
    </row>
    <row r="24" s="1" customFormat="1" ht="40" customHeight="1" spans="1:9">
      <c r="A24" s="90" t="s">
        <v>631</v>
      </c>
      <c r="B24" s="51">
        <v>22</v>
      </c>
      <c r="C24" s="51" t="str">
        <f>_xlfn.DISPIMG("ID_626A900E97CD4D76BD090642741F6160",1)</f>
        <v>=DISPIMG("ID_626A900E97CD4D76BD090642741F6160",1)</v>
      </c>
      <c r="D24" s="53" t="s">
        <v>1586</v>
      </c>
      <c r="E24" s="53" t="s">
        <v>1587</v>
      </c>
      <c r="F24" s="91">
        <v>97574</v>
      </c>
      <c r="G24" s="55">
        <v>150000</v>
      </c>
      <c r="H24" s="55">
        <v>5000</v>
      </c>
      <c r="I24" s="51" t="s">
        <v>1548</v>
      </c>
    </row>
  </sheetData>
  <autoFilter xmlns:etc="http://www.wps.cn/officeDocument/2017/etCustomData" ref="A2:I24" etc:filterBottomFollowUsedRange="0">
    <extLst/>
  </autoFilter>
  <mergeCells count="1">
    <mergeCell ref="A1:I1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N30"/>
  <sheetViews>
    <sheetView workbookViewId="0">
      <pane xSplit="5" ySplit="2" topLeftCell="F3" activePane="bottomRight" state="frozen"/>
      <selection/>
      <selection pane="topRight"/>
      <selection pane="bottomLeft"/>
      <selection pane="bottomRight" activeCell="M26" sqref="M26"/>
    </sheetView>
  </sheetViews>
  <sheetFormatPr defaultColWidth="9.81666666666667" defaultRowHeight="13.5"/>
  <cols>
    <col min="1" max="1" width="7.725" style="33" customWidth="1"/>
    <col min="2" max="2" width="9.14166666666667" style="33" customWidth="1"/>
    <col min="3" max="3" width="7.625" style="33" customWidth="1"/>
    <col min="4" max="4" width="24.3583333333333" style="33" customWidth="1"/>
    <col min="5" max="5" width="15.7583333333333" style="33" customWidth="1"/>
    <col min="6" max="6" width="18.7583333333333" style="33" customWidth="1"/>
    <col min="7" max="7" width="11.3583333333333" style="74" customWidth="1"/>
    <col min="8" max="8" width="11.3583333333333" style="34" customWidth="1"/>
    <col min="9" max="9" width="11.3583333333333" style="33" customWidth="1"/>
    <col min="10" max="10" width="14.125" style="75" customWidth="1"/>
    <col min="11" max="11" width="14.5" style="75" customWidth="1"/>
    <col min="12" max="12" width="7.38333333333333" style="33" customWidth="1"/>
    <col min="13" max="13" width="13.3583333333333" style="33" customWidth="1"/>
    <col min="14" max="14" width="37.6333333333333" style="33" customWidth="1"/>
    <col min="15" max="16378" width="9.64166666666667" style="1"/>
    <col min="16379" max="16384" width="9.81666666666667" style="1"/>
  </cols>
  <sheetData>
    <row r="1" s="1" customFormat="1" ht="70" customHeight="1" spans="1:14">
      <c r="A1" s="7" t="s">
        <v>1588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30" customHeight="1" spans="1:14">
      <c r="A2" s="76" t="s">
        <v>1148</v>
      </c>
      <c r="B2" s="76" t="s">
        <v>7</v>
      </c>
      <c r="C2" s="76" t="s">
        <v>9</v>
      </c>
      <c r="D2" s="76" t="s">
        <v>1589</v>
      </c>
      <c r="E2" s="76" t="s">
        <v>1590</v>
      </c>
      <c r="F2" s="76" t="s">
        <v>1591</v>
      </c>
      <c r="G2" s="77" t="s">
        <v>1592</v>
      </c>
      <c r="H2" s="78" t="s">
        <v>18</v>
      </c>
      <c r="I2" s="76" t="s">
        <v>1593</v>
      </c>
      <c r="J2" s="76" t="s">
        <v>1594</v>
      </c>
      <c r="K2" s="76" t="s">
        <v>1595</v>
      </c>
      <c r="L2" s="76" t="s">
        <v>30</v>
      </c>
      <c r="M2" s="76" t="s">
        <v>1596</v>
      </c>
      <c r="N2" s="79" t="s">
        <v>1597</v>
      </c>
    </row>
    <row r="3" s="1" customFormat="1" ht="40" customHeight="1" spans="1:14">
      <c r="A3" s="14" t="s">
        <v>1160</v>
      </c>
      <c r="B3" s="14">
        <v>1</v>
      </c>
      <c r="C3" s="14" t="str">
        <f>_xlfn.DISPIMG("ID_DF88F420442B491A9C2F559EA8524D3B",1)</f>
        <v>=DISPIMG("ID_DF88F420442B491A9C2F559EA8524D3B",1)</v>
      </c>
      <c r="D3" s="14" t="s">
        <v>32</v>
      </c>
      <c r="E3" s="14">
        <v>1267663386</v>
      </c>
      <c r="F3" s="14" t="s">
        <v>1598</v>
      </c>
      <c r="G3" s="80">
        <v>7920672</v>
      </c>
      <c r="H3" s="17" t="s">
        <v>40</v>
      </c>
      <c r="I3" s="21" t="s">
        <v>40</v>
      </c>
      <c r="J3" s="21" t="s">
        <v>40</v>
      </c>
      <c r="K3" s="21">
        <v>1800000</v>
      </c>
      <c r="L3" s="14" t="s">
        <v>45</v>
      </c>
      <c r="M3" s="14" t="s">
        <v>1548</v>
      </c>
      <c r="N3" s="81" t="s">
        <v>1599</v>
      </c>
    </row>
    <row r="4" s="1" customFormat="1" ht="40" customHeight="1" spans="1:14">
      <c r="A4" s="14" t="s">
        <v>1160</v>
      </c>
      <c r="B4" s="14">
        <v>2</v>
      </c>
      <c r="C4" s="14" t="str">
        <f>_xlfn.DISPIMG("ID_2822CA7DD28E4D9B81A96CD835701EAD",1)</f>
        <v>=DISPIMG("ID_2822CA7DD28E4D9B81A96CD835701EAD",1)</v>
      </c>
      <c r="D4" s="14" t="s">
        <v>797</v>
      </c>
      <c r="E4" s="14">
        <v>1319545823</v>
      </c>
      <c r="F4" s="14" t="s">
        <v>1600</v>
      </c>
      <c r="G4" s="80">
        <v>3004633</v>
      </c>
      <c r="H4" s="17">
        <v>29</v>
      </c>
      <c r="I4" s="21">
        <v>30000</v>
      </c>
      <c r="J4" s="21">
        <v>50000</v>
      </c>
      <c r="K4" s="21">
        <v>65000</v>
      </c>
      <c r="L4" s="14" t="s">
        <v>45</v>
      </c>
      <c r="M4" s="14" t="s">
        <v>1548</v>
      </c>
      <c r="N4" s="81" t="s">
        <v>1601</v>
      </c>
    </row>
    <row r="5" s="1" customFormat="1" ht="40" customHeight="1" spans="1:14">
      <c r="A5" s="14" t="s">
        <v>1602</v>
      </c>
      <c r="B5" s="14">
        <v>3</v>
      </c>
      <c r="C5" s="14" t="str">
        <f>_xlfn.DISPIMG("ID_842E70D6C5444F43B9B07890F4642BA6",1)</f>
        <v>=DISPIMG("ID_842E70D6C5444F43B9B07890F4642BA6",1)</v>
      </c>
      <c r="D5" s="14" t="s">
        <v>649</v>
      </c>
      <c r="E5" s="14">
        <v>1478432811</v>
      </c>
      <c r="F5" s="14" t="s">
        <v>117</v>
      </c>
      <c r="G5" s="80">
        <v>2387603</v>
      </c>
      <c r="H5" s="17">
        <v>555</v>
      </c>
      <c r="I5" s="21">
        <v>37000</v>
      </c>
      <c r="J5" s="21">
        <v>37000</v>
      </c>
      <c r="K5" s="21">
        <v>78000</v>
      </c>
      <c r="L5" s="14" t="s">
        <v>45</v>
      </c>
      <c r="M5" s="14" t="s">
        <v>1548</v>
      </c>
      <c r="N5" s="81" t="s">
        <v>1603</v>
      </c>
    </row>
    <row r="6" s="1" customFormat="1" ht="40" customHeight="1" spans="1:14">
      <c r="A6" s="14" t="s">
        <v>293</v>
      </c>
      <c r="B6" s="14">
        <v>4</v>
      </c>
      <c r="C6" s="14" t="str">
        <f>_xlfn.DISPIMG("ID_5465629EB21547AC9697D20C626B9ADE",1)</f>
        <v>=DISPIMG("ID_5465629EB21547AC9697D20C626B9ADE",1)</v>
      </c>
      <c r="D6" s="14" t="s">
        <v>247</v>
      </c>
      <c r="E6" s="14">
        <v>1261372872</v>
      </c>
      <c r="F6" s="14" t="s">
        <v>1604</v>
      </c>
      <c r="G6" s="80">
        <v>8682953</v>
      </c>
      <c r="H6" s="17" t="s">
        <v>40</v>
      </c>
      <c r="I6" s="21">
        <v>140000</v>
      </c>
      <c r="J6" s="21">
        <v>160000</v>
      </c>
      <c r="K6" s="21">
        <v>210000</v>
      </c>
      <c r="L6" s="14" t="s">
        <v>45</v>
      </c>
      <c r="M6" s="14" t="s">
        <v>1548</v>
      </c>
      <c r="N6" s="81" t="s">
        <v>1605</v>
      </c>
    </row>
    <row r="7" s="1" customFormat="1" ht="40" customHeight="1" spans="1:14">
      <c r="A7" s="14" t="s">
        <v>293</v>
      </c>
      <c r="B7" s="14">
        <v>5</v>
      </c>
      <c r="C7" s="14" t="str">
        <f>_xlfn.DISPIMG("ID_26D1295F321E48D4BF3B83DA8D2BEDF0",1)</f>
        <v>=DISPIMG("ID_26D1295F321E48D4BF3B83DA8D2BEDF0",1)</v>
      </c>
      <c r="D7" s="14" t="s">
        <v>258</v>
      </c>
      <c r="E7" s="14">
        <v>1706040944</v>
      </c>
      <c r="F7" s="14" t="s">
        <v>327</v>
      </c>
      <c r="G7" s="80">
        <v>4119559</v>
      </c>
      <c r="H7" s="17" t="s">
        <v>40</v>
      </c>
      <c r="I7" s="21">
        <v>120000</v>
      </c>
      <c r="J7" s="21">
        <v>200000</v>
      </c>
      <c r="K7" s="21">
        <v>250000</v>
      </c>
      <c r="L7" s="14" t="s">
        <v>45</v>
      </c>
      <c r="M7" s="14" t="s">
        <v>1548</v>
      </c>
      <c r="N7" s="81" t="s">
        <v>1606</v>
      </c>
    </row>
    <row r="8" s="1" customFormat="1" ht="40" customHeight="1" spans="1:14">
      <c r="A8" s="14" t="s">
        <v>293</v>
      </c>
      <c r="B8" s="14">
        <v>6</v>
      </c>
      <c r="C8" s="14" t="str">
        <f>_xlfn.DISPIMG("ID_EA258259F9F540969492DBE4307EC17C",1)</f>
        <v>=DISPIMG("ID_EA258259F9F540969492DBE4307EC17C",1)</v>
      </c>
      <c r="D8" s="14" t="s">
        <v>303</v>
      </c>
      <c r="E8" s="14">
        <v>1531106761</v>
      </c>
      <c r="F8" s="14" t="s">
        <v>327</v>
      </c>
      <c r="G8" s="80">
        <v>1690471</v>
      </c>
      <c r="H8" s="17" t="s">
        <v>40</v>
      </c>
      <c r="I8" s="21" t="s">
        <v>40</v>
      </c>
      <c r="J8" s="21">
        <v>58000</v>
      </c>
      <c r="K8" s="21">
        <v>70000</v>
      </c>
      <c r="L8" s="14" t="s">
        <v>45</v>
      </c>
      <c r="M8" s="14" t="s">
        <v>1548</v>
      </c>
      <c r="N8" s="81" t="s">
        <v>1607</v>
      </c>
    </row>
    <row r="9" s="1" customFormat="1" ht="40" customHeight="1" spans="1:14">
      <c r="A9" s="14" t="s">
        <v>293</v>
      </c>
      <c r="B9" s="14">
        <v>7</v>
      </c>
      <c r="C9" t="str">
        <f>_xlfn.DISPIMG("ID_9D4BCA200A3A4EB8A0D73854126E75BE",1)</f>
        <v>=DISPIMG("ID_9D4BCA200A3A4EB8A0D73854126E75BE",1)</v>
      </c>
      <c r="D9" s="14" t="s">
        <v>1558</v>
      </c>
      <c r="E9" s="14">
        <v>67395245</v>
      </c>
      <c r="F9" s="14" t="s">
        <v>1608</v>
      </c>
      <c r="G9" s="80">
        <v>7854950</v>
      </c>
      <c r="H9" s="17" t="s">
        <v>40</v>
      </c>
      <c r="I9" s="21">
        <v>79000</v>
      </c>
      <c r="J9" s="21">
        <v>109000</v>
      </c>
      <c r="K9" s="21">
        <v>129000</v>
      </c>
      <c r="L9" s="14" t="s">
        <v>45</v>
      </c>
      <c r="M9" s="14" t="s">
        <v>1548</v>
      </c>
      <c r="N9" s="81" t="s">
        <v>1609</v>
      </c>
    </row>
    <row r="10" s="1" customFormat="1" ht="40" customHeight="1" spans="1:14">
      <c r="A10" s="14" t="s">
        <v>293</v>
      </c>
      <c r="B10" s="14">
        <v>8</v>
      </c>
      <c r="C10" s="14" t="str">
        <f>_xlfn.DISPIMG("ID_44D20FEE6BF8478AA7A833989426D7D3",1)</f>
        <v>=DISPIMG("ID_44D20FEE6BF8478AA7A833989426D7D3",1)</v>
      </c>
      <c r="D10" s="14" t="s">
        <v>1610</v>
      </c>
      <c r="E10" s="14">
        <v>1847953240</v>
      </c>
      <c r="F10" s="14" t="s">
        <v>1611</v>
      </c>
      <c r="G10" s="80">
        <v>1354295</v>
      </c>
      <c r="H10" s="17" t="s">
        <v>40</v>
      </c>
      <c r="I10" s="21">
        <v>50000</v>
      </c>
      <c r="J10" s="21">
        <v>50000</v>
      </c>
      <c r="K10" s="21">
        <v>65000</v>
      </c>
      <c r="L10" s="14" t="s">
        <v>45</v>
      </c>
      <c r="M10" s="14" t="s">
        <v>1548</v>
      </c>
      <c r="N10" s="81" t="s">
        <v>1612</v>
      </c>
    </row>
    <row r="11" s="1" customFormat="1" ht="40" customHeight="1" spans="1:14">
      <c r="A11" s="14" t="s">
        <v>293</v>
      </c>
      <c r="B11" s="14">
        <v>9</v>
      </c>
      <c r="C11" s="14" t="str">
        <f>_xlfn.DISPIMG("ID_8503B5DF2ACE4D4F8E79C83170350E98",1)</f>
        <v>=DISPIMG("ID_8503B5DF2ACE4D4F8E79C83170350E98",1)</v>
      </c>
      <c r="D11" s="14" t="s">
        <v>224</v>
      </c>
      <c r="E11" s="14">
        <v>2371429600</v>
      </c>
      <c r="F11" s="14" t="s">
        <v>327</v>
      </c>
      <c r="G11" s="80">
        <v>778302</v>
      </c>
      <c r="H11" s="17" t="s">
        <v>40</v>
      </c>
      <c r="I11" s="21" t="s">
        <v>40</v>
      </c>
      <c r="J11" s="21">
        <v>30000</v>
      </c>
      <c r="K11" s="21">
        <v>35000</v>
      </c>
      <c r="L11" s="14" t="s">
        <v>45</v>
      </c>
      <c r="M11" s="14" t="s">
        <v>1548</v>
      </c>
      <c r="N11" s="81" t="s">
        <v>1613</v>
      </c>
    </row>
    <row r="12" s="1" customFormat="1" ht="40" customHeight="1" spans="1:14">
      <c r="A12" s="14" t="s">
        <v>293</v>
      </c>
      <c r="B12" s="14">
        <v>10</v>
      </c>
      <c r="C12" s="14" t="str">
        <f>_xlfn.DISPIMG("ID_F25E324AE5054E67926089463596587E",1)</f>
        <v>=DISPIMG("ID_F25E324AE5054E67926089463596587E",1)</v>
      </c>
      <c r="D12" s="14" t="s">
        <v>1614</v>
      </c>
      <c r="E12" s="14">
        <v>1488857521</v>
      </c>
      <c r="F12" s="14" t="s">
        <v>1615</v>
      </c>
      <c r="G12" s="80">
        <v>1031382</v>
      </c>
      <c r="H12" s="17">
        <v>556</v>
      </c>
      <c r="I12" s="21">
        <v>30000</v>
      </c>
      <c r="J12" s="21">
        <v>30000</v>
      </c>
      <c r="K12" s="21">
        <v>55000</v>
      </c>
      <c r="L12" s="14" t="s">
        <v>45</v>
      </c>
      <c r="M12" s="14" t="s">
        <v>1548</v>
      </c>
      <c r="N12" s="81" t="s">
        <v>1616</v>
      </c>
    </row>
    <row r="13" s="1" customFormat="1" ht="40" customHeight="1" spans="1:14">
      <c r="A13" s="14" t="s">
        <v>293</v>
      </c>
      <c r="B13" s="14">
        <v>11</v>
      </c>
      <c r="C13" s="14" t="str">
        <f>_xlfn.DISPIMG("ID_025CA94001EB422FA8A8B10D9D24F3E4",1)</f>
        <v>=DISPIMG("ID_025CA94001EB422FA8A8B10D9D24F3E4",1)</v>
      </c>
      <c r="D13" s="14" t="s">
        <v>324</v>
      </c>
      <c r="E13" s="14">
        <v>1959288705</v>
      </c>
      <c r="F13" s="14" t="s">
        <v>327</v>
      </c>
      <c r="G13" s="80">
        <v>495057</v>
      </c>
      <c r="H13" s="17" t="s">
        <v>40</v>
      </c>
      <c r="I13" s="21" t="s">
        <v>40</v>
      </c>
      <c r="J13" s="21">
        <v>50000</v>
      </c>
      <c r="K13" s="21">
        <v>50000</v>
      </c>
      <c r="L13" s="14" t="s">
        <v>45</v>
      </c>
      <c r="M13" s="14" t="s">
        <v>1548</v>
      </c>
      <c r="N13" s="81" t="s">
        <v>1617</v>
      </c>
    </row>
    <row r="14" s="1" customFormat="1" ht="40" customHeight="1" spans="1:14">
      <c r="A14" s="14" t="s">
        <v>293</v>
      </c>
      <c r="B14" s="14">
        <v>12</v>
      </c>
      <c r="C14" s="14" t="str">
        <f>_xlfn.DISPIMG("ID_76C7B55021AF42D1BA111CC35C0756B9",1)</f>
        <v>=DISPIMG("ID_76C7B55021AF42D1BA111CC35C0756B9",1)</v>
      </c>
      <c r="D14" s="14" t="s">
        <v>268</v>
      </c>
      <c r="E14" s="14">
        <v>2826374726</v>
      </c>
      <c r="F14" s="14" t="s">
        <v>327</v>
      </c>
      <c r="G14" s="80">
        <v>342130</v>
      </c>
      <c r="H14" s="17" t="s">
        <v>40</v>
      </c>
      <c r="I14" s="21">
        <v>20000</v>
      </c>
      <c r="J14" s="21">
        <v>50000</v>
      </c>
      <c r="K14" s="21">
        <v>98000</v>
      </c>
      <c r="L14" s="14" t="s">
        <v>45</v>
      </c>
      <c r="M14" s="14" t="s">
        <v>1548</v>
      </c>
      <c r="N14" s="81" t="s">
        <v>1618</v>
      </c>
    </row>
    <row r="15" s="1" customFormat="1" ht="40" customHeight="1" spans="1:14">
      <c r="A15" s="14" t="s">
        <v>293</v>
      </c>
      <c r="B15" s="14">
        <v>13</v>
      </c>
      <c r="C15" s="14" t="str">
        <f>_xlfn.DISPIMG("ID_6F063E78CAA44C75BAB4ABB2103D579B",1)</f>
        <v>=DISPIMG("ID_6F063E78CAA44C75BAB4ABB2103D579B",1)</v>
      </c>
      <c r="D15" s="14" t="s">
        <v>279</v>
      </c>
      <c r="E15" s="14">
        <v>2374561522</v>
      </c>
      <c r="F15" s="14" t="s">
        <v>293</v>
      </c>
      <c r="G15" s="80">
        <v>919440</v>
      </c>
      <c r="H15" s="17">
        <v>656</v>
      </c>
      <c r="I15" s="21" t="s">
        <v>40</v>
      </c>
      <c r="J15" s="21" t="s">
        <v>1619</v>
      </c>
      <c r="K15" s="21">
        <v>128000</v>
      </c>
      <c r="L15" s="14" t="s">
        <v>45</v>
      </c>
      <c r="M15" s="14" t="s">
        <v>1548</v>
      </c>
      <c r="N15" s="81" t="s">
        <v>1620</v>
      </c>
    </row>
    <row r="16" s="1" customFormat="1" ht="40" customHeight="1" spans="1:14">
      <c r="A16" s="14" t="s">
        <v>435</v>
      </c>
      <c r="B16" s="14">
        <v>14</v>
      </c>
      <c r="C16" s="14" t="str">
        <f>_xlfn.DISPIMG("ID_1FBA0DA8850F45B18BD38BE9C61D257B",1)</f>
        <v>=DISPIMG("ID_1FBA0DA8850F45B18BD38BE9C61D257B",1)</v>
      </c>
      <c r="D16" s="14" t="s">
        <v>1621</v>
      </c>
      <c r="E16" s="14">
        <v>121170885</v>
      </c>
      <c r="F16" s="14" t="s">
        <v>478</v>
      </c>
      <c r="G16" s="80">
        <v>261497</v>
      </c>
      <c r="H16" s="17" t="s">
        <v>40</v>
      </c>
      <c r="I16" s="21">
        <v>1500</v>
      </c>
      <c r="J16" s="21">
        <v>1800</v>
      </c>
      <c r="K16" s="21">
        <v>2000</v>
      </c>
      <c r="L16" s="14" t="s">
        <v>45</v>
      </c>
      <c r="M16" s="14" t="s">
        <v>1548</v>
      </c>
      <c r="N16" s="81" t="s">
        <v>1622</v>
      </c>
    </row>
    <row r="17" s="1" customFormat="1" ht="40" customHeight="1" spans="1:14">
      <c r="A17" s="14" t="s">
        <v>1623</v>
      </c>
      <c r="B17" s="14">
        <v>15</v>
      </c>
      <c r="C17" s="14" t="str">
        <f>_xlfn.DISPIMG("ID_FF56D58A0B064C748DEF09A2D4A64B27",1)</f>
        <v>=DISPIMG("ID_FF56D58A0B064C748DEF09A2D4A64B27",1)</v>
      </c>
      <c r="D17" s="14" t="s">
        <v>863</v>
      </c>
      <c r="E17" s="14">
        <v>1123957160</v>
      </c>
      <c r="F17" s="14" t="s">
        <v>866</v>
      </c>
      <c r="G17" s="80">
        <v>502487</v>
      </c>
      <c r="H17" s="17" t="s">
        <v>40</v>
      </c>
      <c r="I17" s="21">
        <v>10000</v>
      </c>
      <c r="J17" s="21">
        <v>10000</v>
      </c>
      <c r="K17" s="21">
        <v>13000</v>
      </c>
      <c r="L17" s="14" t="s">
        <v>45</v>
      </c>
      <c r="M17" s="14" t="s">
        <v>1548</v>
      </c>
      <c r="N17" s="81" t="s">
        <v>1624</v>
      </c>
    </row>
    <row r="18" s="1" customFormat="1" ht="40" customHeight="1" spans="1:14">
      <c r="A18" s="14" t="s">
        <v>631</v>
      </c>
      <c r="B18" s="14">
        <v>16</v>
      </c>
      <c r="C18" s="14" t="str">
        <f>_xlfn.DISPIMG("ID_1459E60758F34FD9B5251A2D0C815B01",1)</f>
        <v>=DISPIMG("ID_1459E60758F34FD9B5251A2D0C815B01",1)</v>
      </c>
      <c r="D18" s="14" t="s">
        <v>1434</v>
      </c>
      <c r="E18" s="14">
        <v>95338390</v>
      </c>
      <c r="F18" s="14" t="s">
        <v>1625</v>
      </c>
      <c r="G18" s="80">
        <v>13910797</v>
      </c>
      <c r="H18" s="17">
        <v>672</v>
      </c>
      <c r="I18" s="21">
        <v>80000</v>
      </c>
      <c r="J18" s="21">
        <v>108000</v>
      </c>
      <c r="K18" s="20" t="s">
        <v>1626</v>
      </c>
      <c r="L18" s="14" t="s">
        <v>45</v>
      </c>
      <c r="M18" s="14" t="s">
        <v>1548</v>
      </c>
      <c r="N18" s="81" t="s">
        <v>1627</v>
      </c>
    </row>
    <row r="19" s="1" customFormat="1" ht="40" customHeight="1" spans="1:14">
      <c r="A19" s="14" t="s">
        <v>631</v>
      </c>
      <c r="B19" s="14">
        <v>17</v>
      </c>
      <c r="C19" s="14" t="str">
        <f>_xlfn.DISPIMG("ID_20E53883F1124D6F8D6D09ABD2B68B86",1)</f>
        <v>=DISPIMG("ID_20E53883F1124D6F8D6D09ABD2B68B86",1)</v>
      </c>
      <c r="D19" s="14" t="s">
        <v>1509</v>
      </c>
      <c r="E19" s="14">
        <v>178752821</v>
      </c>
      <c r="F19" s="14" t="s">
        <v>1628</v>
      </c>
      <c r="G19" s="80">
        <v>1386577</v>
      </c>
      <c r="H19" s="17" t="s">
        <v>40</v>
      </c>
      <c r="I19" s="21">
        <v>28850</v>
      </c>
      <c r="J19" s="21">
        <v>28850</v>
      </c>
      <c r="K19" s="21">
        <v>30000</v>
      </c>
      <c r="L19" s="14" t="s">
        <v>45</v>
      </c>
      <c r="M19" s="14" t="s">
        <v>1548</v>
      </c>
      <c r="N19" s="81" t="s">
        <v>1629</v>
      </c>
    </row>
    <row r="20" s="1" customFormat="1" ht="40" customHeight="1" spans="1:14">
      <c r="A20" s="14" t="s">
        <v>631</v>
      </c>
      <c r="B20" s="14">
        <v>18</v>
      </c>
      <c r="C20" s="14" t="str">
        <f>_xlfn.DISPIMG("ID_663EA6CF7ADA4C04BFCE7AC30DCA86B5",1)</f>
        <v>=DISPIMG("ID_663EA6CF7ADA4C04BFCE7AC30DCA86B5",1)</v>
      </c>
      <c r="D20" s="14" t="s">
        <v>1407</v>
      </c>
      <c r="E20" s="14">
        <v>1999264444</v>
      </c>
      <c r="F20" s="14" t="s">
        <v>631</v>
      </c>
      <c r="G20" s="80">
        <v>676616</v>
      </c>
      <c r="H20" s="17">
        <v>93</v>
      </c>
      <c r="I20" s="21">
        <v>10000</v>
      </c>
      <c r="J20" s="21">
        <v>10000</v>
      </c>
      <c r="K20" s="21">
        <v>13000</v>
      </c>
      <c r="L20" s="14" t="s">
        <v>45</v>
      </c>
      <c r="M20" s="14" t="s">
        <v>1548</v>
      </c>
      <c r="N20" s="81" t="s">
        <v>1630</v>
      </c>
    </row>
    <row r="21" s="1" customFormat="1" ht="40" customHeight="1" spans="1:14">
      <c r="A21" s="14" t="s">
        <v>631</v>
      </c>
      <c r="B21" s="14">
        <v>19</v>
      </c>
      <c r="C21" s="14" t="str">
        <f>_xlfn.DISPIMG("ID_F258CD6BFCC5411D95997B2394662D36",1)</f>
        <v>=DISPIMG("ID_F258CD6BFCC5411D95997B2394662D36",1)</v>
      </c>
      <c r="D21" s="14" t="s">
        <v>628</v>
      </c>
      <c r="E21" s="14">
        <v>174655943</v>
      </c>
      <c r="F21" s="14" t="s">
        <v>631</v>
      </c>
      <c r="G21" s="80">
        <v>657017</v>
      </c>
      <c r="H21" s="17">
        <v>224</v>
      </c>
      <c r="I21" s="21">
        <v>4500</v>
      </c>
      <c r="J21" s="21">
        <v>4500</v>
      </c>
      <c r="K21" s="21">
        <v>6000</v>
      </c>
      <c r="L21" s="14" t="s">
        <v>45</v>
      </c>
      <c r="M21" s="14" t="s">
        <v>1548</v>
      </c>
      <c r="N21" s="81" t="s">
        <v>1631</v>
      </c>
    </row>
    <row r="22" s="1" customFormat="1" ht="40" customHeight="1" spans="1:14">
      <c r="A22" s="14" t="s">
        <v>631</v>
      </c>
      <c r="B22" s="14">
        <v>20</v>
      </c>
      <c r="C22" s="14" t="str">
        <f>_xlfn.DISPIMG("ID_11248BC070EE486982BB0B5EC2E9CB12",1)</f>
        <v>=DISPIMG("ID_11248BC070EE486982BB0B5EC2E9CB12",1)</v>
      </c>
      <c r="D22" s="14" t="s">
        <v>1319</v>
      </c>
      <c r="E22" s="14">
        <v>5787752</v>
      </c>
      <c r="F22" s="14" t="s">
        <v>631</v>
      </c>
      <c r="G22" s="80">
        <v>353453</v>
      </c>
      <c r="H22" s="17">
        <v>171</v>
      </c>
      <c r="I22" s="21">
        <v>10000</v>
      </c>
      <c r="J22" s="21">
        <v>12000</v>
      </c>
      <c r="K22" s="21">
        <v>15000</v>
      </c>
      <c r="L22" s="14" t="s">
        <v>45</v>
      </c>
      <c r="M22" s="14" t="s">
        <v>1548</v>
      </c>
      <c r="N22" s="81" t="s">
        <v>1632</v>
      </c>
    </row>
    <row r="23" s="1" customFormat="1" ht="40" customHeight="1" spans="1:14">
      <c r="A23" s="14" t="s">
        <v>924</v>
      </c>
      <c r="B23" s="14">
        <v>21</v>
      </c>
      <c r="C23" s="14" t="str">
        <f>_xlfn.DISPIMG("ID_2D4F19422DD94E92A557E4477C27D288",1)</f>
        <v>=DISPIMG("ID_2D4F19422DD94E92A557E4477C27D288",1)</v>
      </c>
      <c r="D23" s="14" t="s">
        <v>168</v>
      </c>
      <c r="E23" s="14">
        <v>1881524094</v>
      </c>
      <c r="F23" s="14" t="s">
        <v>171</v>
      </c>
      <c r="G23" s="80">
        <v>834994</v>
      </c>
      <c r="H23" s="17" t="s">
        <v>40</v>
      </c>
      <c r="I23" s="21">
        <v>30000</v>
      </c>
      <c r="J23" s="21">
        <v>30000</v>
      </c>
      <c r="K23" s="21">
        <v>30000</v>
      </c>
      <c r="L23" s="14" t="s">
        <v>45</v>
      </c>
      <c r="M23" s="14" t="s">
        <v>1548</v>
      </c>
      <c r="N23" s="81" t="s">
        <v>1633</v>
      </c>
    </row>
    <row r="24" s="1" customFormat="1" ht="40" customHeight="1" spans="1:14">
      <c r="A24" s="14" t="s">
        <v>924</v>
      </c>
      <c r="B24" s="14">
        <v>22</v>
      </c>
      <c r="C24" s="14" t="str">
        <f>_xlfn.DISPIMG("ID_3F1759559AB940A6A95E542A6EDD73B0",1)</f>
        <v>=DISPIMG("ID_3F1759559AB940A6A95E542A6EDD73B0",1)</v>
      </c>
      <c r="D24" s="14" t="s">
        <v>1634</v>
      </c>
      <c r="E24" s="14">
        <v>1461222504</v>
      </c>
      <c r="F24" s="14" t="s">
        <v>183</v>
      </c>
      <c r="G24" s="80">
        <v>642814</v>
      </c>
      <c r="H24" s="17">
        <v>613</v>
      </c>
      <c r="I24" s="21">
        <v>15000</v>
      </c>
      <c r="J24" s="21">
        <v>15000</v>
      </c>
      <c r="K24" s="21">
        <v>20000</v>
      </c>
      <c r="L24" s="14" t="s">
        <v>45</v>
      </c>
      <c r="M24" s="14" t="s">
        <v>1548</v>
      </c>
      <c r="N24" s="81" t="s">
        <v>1635</v>
      </c>
    </row>
    <row r="25" s="1" customFormat="1" ht="40" customHeight="1" spans="1:14">
      <c r="A25" s="14" t="s">
        <v>924</v>
      </c>
      <c r="B25" s="14">
        <v>23</v>
      </c>
      <c r="C25" s="14" t="str">
        <f>_xlfn.DISPIMG("ID_B29E0B8463234924BBB65C6C79031091",1)</f>
        <v>=DISPIMG("ID_B29E0B8463234924BBB65C6C79031091",1)</v>
      </c>
      <c r="D25" s="14" t="s">
        <v>1636</v>
      </c>
      <c r="E25" s="14">
        <v>514366458</v>
      </c>
      <c r="F25" s="14" t="s">
        <v>183</v>
      </c>
      <c r="G25" s="80">
        <v>634787</v>
      </c>
      <c r="H25" s="17" t="s">
        <v>40</v>
      </c>
      <c r="I25" s="21" t="s">
        <v>40</v>
      </c>
      <c r="J25" s="21">
        <v>6000</v>
      </c>
      <c r="K25" s="21" t="s">
        <v>40</v>
      </c>
      <c r="L25" s="14" t="s">
        <v>45</v>
      </c>
      <c r="M25" s="14" t="s">
        <v>1548</v>
      </c>
      <c r="N25" s="81" t="s">
        <v>1637</v>
      </c>
    </row>
    <row r="26" s="1" customFormat="1" ht="40" customHeight="1" spans="1:14">
      <c r="A26" s="14" t="s">
        <v>1638</v>
      </c>
      <c r="B26" s="14">
        <v>24</v>
      </c>
      <c r="C26" s="14" t="str">
        <f>_xlfn.DISPIMG("ID_A6F025CCCD2A49668E318B310BB2E213",1)</f>
        <v>=DISPIMG("ID_A6F025CCCD2A49668E318B310BB2E213",1)</v>
      </c>
      <c r="D26" s="14" t="s">
        <v>831</v>
      </c>
      <c r="E26" s="14">
        <v>657565965</v>
      </c>
      <c r="F26" s="14" t="s">
        <v>1639</v>
      </c>
      <c r="G26" s="80">
        <v>110000</v>
      </c>
      <c r="H26" s="17">
        <v>6</v>
      </c>
      <c r="I26" s="21">
        <v>18000</v>
      </c>
      <c r="J26" s="21">
        <v>24000</v>
      </c>
      <c r="K26" s="21">
        <v>30000</v>
      </c>
      <c r="L26" s="14" t="s">
        <v>136</v>
      </c>
      <c r="M26" s="14" t="s">
        <v>1548</v>
      </c>
      <c r="N26" s="81" t="s">
        <v>1640</v>
      </c>
    </row>
    <row r="27" s="1" customFormat="1" ht="40" customHeight="1" spans="1:14">
      <c r="A27" s="14" t="s">
        <v>1641</v>
      </c>
      <c r="B27" s="14">
        <v>25</v>
      </c>
      <c r="C27" s="14" t="str">
        <f>_xlfn.DISPIMG("ID_160376FC8C8D4E8BA2F154BAA03B7139",1)</f>
        <v>=DISPIMG("ID_160376FC8C8D4E8BA2F154BAA03B7139",1)</v>
      </c>
      <c r="D27" s="14" t="s">
        <v>1642</v>
      </c>
      <c r="E27" s="14">
        <v>1971657741</v>
      </c>
      <c r="F27" s="14" t="s">
        <v>577</v>
      </c>
      <c r="G27" s="80">
        <v>202369</v>
      </c>
      <c r="H27" s="17">
        <v>100</v>
      </c>
      <c r="I27" s="21" t="s">
        <v>40</v>
      </c>
      <c r="J27" s="21">
        <v>6000</v>
      </c>
      <c r="K27" s="21">
        <v>12000</v>
      </c>
      <c r="L27" s="14" t="s">
        <v>573</v>
      </c>
      <c r="M27" s="14" t="s">
        <v>1548</v>
      </c>
      <c r="N27" s="81" t="s">
        <v>1643</v>
      </c>
    </row>
    <row r="28" s="1" customFormat="1" ht="40" customHeight="1" spans="1:14">
      <c r="A28" s="14" t="s">
        <v>1644</v>
      </c>
      <c r="B28" s="14">
        <v>26</v>
      </c>
      <c r="C28" s="14" t="str">
        <f>_xlfn.DISPIMG("ID_F70DEC92B2DB48969925335DDA7128E1",1)</f>
        <v>=DISPIMG("ID_F70DEC92B2DB48969925335DDA7128E1",1)</v>
      </c>
      <c r="D28" s="14" t="s">
        <v>1645</v>
      </c>
      <c r="E28" s="14">
        <v>889526361</v>
      </c>
      <c r="F28" s="14" t="s">
        <v>1646</v>
      </c>
      <c r="G28" s="80">
        <v>2054987</v>
      </c>
      <c r="H28" s="17" t="s">
        <v>40</v>
      </c>
      <c r="I28" s="21">
        <v>25000</v>
      </c>
      <c r="J28" s="21">
        <v>25000</v>
      </c>
      <c r="K28" s="21">
        <v>98000</v>
      </c>
      <c r="L28" s="14" t="s">
        <v>136</v>
      </c>
      <c r="M28" s="14" t="s">
        <v>1548</v>
      </c>
      <c r="N28" s="81" t="s">
        <v>1647</v>
      </c>
    </row>
    <row r="29" s="1" customFormat="1" ht="40" customHeight="1" spans="1:14">
      <c r="A29" s="14" t="s">
        <v>1577</v>
      </c>
      <c r="B29" s="14">
        <v>27</v>
      </c>
      <c r="C29" s="14" t="str">
        <f>_xlfn.DISPIMG("ID_BF520B8C00DB4018AAF498954CEEB6E7",1)</f>
        <v>=DISPIMG("ID_BF520B8C00DB4018AAF498954CEEB6E7",1)</v>
      </c>
      <c r="D29" s="14" t="s">
        <v>1648</v>
      </c>
      <c r="E29" s="14">
        <v>535240710</v>
      </c>
      <c r="F29" s="14" t="s">
        <v>790</v>
      </c>
      <c r="G29" s="80">
        <v>470147</v>
      </c>
      <c r="H29" s="17">
        <v>842</v>
      </c>
      <c r="I29" s="21">
        <v>20000</v>
      </c>
      <c r="J29" s="21">
        <v>25000</v>
      </c>
      <c r="K29" s="21">
        <v>29900</v>
      </c>
      <c r="L29" s="14" t="s">
        <v>45</v>
      </c>
      <c r="M29" s="14" t="s">
        <v>1548</v>
      </c>
      <c r="N29" s="81" t="s">
        <v>1649</v>
      </c>
    </row>
    <row r="30" s="1" customFormat="1" ht="40" customHeight="1" spans="1:14">
      <c r="A30" s="28" t="s">
        <v>1577</v>
      </c>
      <c r="B30" s="28">
        <v>28</v>
      </c>
      <c r="C30" s="28" t="str">
        <f>_xlfn.DISPIMG("ID_1E53894226F0447CA4D62FA5B8BA1118",1)</f>
        <v>=DISPIMG("ID_1E53894226F0447CA4D62FA5B8BA1118",1)</v>
      </c>
      <c r="D30" s="28" t="s">
        <v>808</v>
      </c>
      <c r="E30" s="28">
        <v>1901994949</v>
      </c>
      <c r="F30" s="28" t="s">
        <v>790</v>
      </c>
      <c r="G30" s="82">
        <v>58069</v>
      </c>
      <c r="H30" s="31" t="s">
        <v>40</v>
      </c>
      <c r="I30" s="83" t="s">
        <v>40</v>
      </c>
      <c r="J30" s="83">
        <v>8500</v>
      </c>
      <c r="K30" s="83">
        <v>8500</v>
      </c>
      <c r="L30" s="29" t="s">
        <v>1650</v>
      </c>
      <c r="M30" s="28" t="s">
        <v>1553</v>
      </c>
      <c r="N30" s="84" t="s">
        <v>1651</v>
      </c>
    </row>
  </sheetData>
  <autoFilter xmlns:etc="http://www.wps.cn/officeDocument/2017/etCustomData" ref="A2:N30" etc:filterBottomFollowUsedRange="0">
    <extLst/>
  </autoFilter>
  <mergeCells count="1">
    <mergeCell ref="A1:N1"/>
  </mergeCells>
  <hyperlinks>
    <hyperlink ref="N3" r:id="rId2" display="https://live.kuaishou.com/profile/3xi4apqvqnf7g7y" tooltip="https://live.kuaishou.com/profile/3xi4apqvqnf7g7y"/>
    <hyperlink ref="N4" r:id="rId3" display="https://live.kuaishou.com/profile/Handsomeht" tooltip="https://live.kuaishou.com/profile/Handsomeht"/>
    <hyperlink ref="N7" r:id="rId4" display="https://live.kuaishou.com/profile/Roududu1998z" tooltip="https://live.kuaishou.com/profile/Roududu1998z"/>
    <hyperlink ref="N6" r:id="rId5" display="https://live.kuaishou.com/profile/yaner957"/>
    <hyperlink ref="N8" r:id="rId6" display="https://live.kuaishou.com/profile/Dahuangh"/>
    <hyperlink ref="N10" r:id="rId7" display="https://live.kuaishou.com/profile/3xbn4pn987uua5q"/>
    <hyperlink ref="N11" r:id="rId8" display="https://live.kuaishou.com/profile/Jinbo9805"/>
    <hyperlink ref="N12" r:id="rId9" display="https://live.kuaishou.com/profile/xiaodudu20181208"/>
    <hyperlink ref="N23" r:id="rId10" display="https://live.kuaishou.com/profile/xxy1129xy"/>
    <hyperlink ref="N14" r:id="rId11" display="https://live.kuaishou.com/profile/wutangnaicha23"/>
    <hyperlink ref="N15" r:id="rId12" display="https://live.kuaishou.com/profile/zhousanshi0818"/>
    <hyperlink ref="N17" r:id="rId13" display="https://live.kuaishou.com/profile/bigefeixi"/>
    <hyperlink ref="N19" r:id="rId14" display="https://live.kuaishou.com/profile/Xiaxia977"/>
    <hyperlink ref="N20" r:id="rId15" display="https://live.kuaishou.com/profile/yihang112244" tooltip="https://live.kuaishou.com/profile/yihang112244"/>
    <hyperlink ref="N21" r:id="rId16" display="https://live.kuaishou.com/profile/xrr888006"/>
    <hyperlink ref="N5" r:id="rId17" display="https://live.kuaishou.com/profile/3xqsxy7pk7b3rq9"/>
    <hyperlink ref="N24" r:id="rId18" display="https://live.kuaishou.com/profile/A77777774_"/>
    <hyperlink ref="N28" r:id="rId19" display="https://live.kuaishou.com/profile/KK13881688"/>
    <hyperlink ref="N16" r:id="rId20" display="https://live.kuaishou.com/profile/3xjjzysswd2hqqm"/>
    <hyperlink ref="N18" r:id="rId21" display="https://live.kuaishou.com/profile/ygxdwl666"/>
    <hyperlink ref="N27" r:id="rId22" display="https://live.kuaishou.com/profile/Thesmallyear"/>
    <hyperlink ref="N22" r:id="rId23" display="https://v.kuaishou.com/kpTXgm"/>
    <hyperlink ref="N25" r:id="rId24" display="https://v.kuaishou.com/iTF8WX"/>
    <hyperlink ref="N13" r:id="rId25" display="https://live.kuaishou.com/profile/3xt6e7ftwjievc4" tooltip="https://live.kuaishou.com/profile/3xt6e7ftwjievc4"/>
    <hyperlink ref="N29" r:id="rId26" display="https://v.kuaishou.com/KIJDmKoP"/>
    <hyperlink ref="N9" r:id="rId27" display="https://v.kuaishou.com/nuLqSDG3"/>
    <hyperlink ref="N30" r:id="rId28" display="https://v.kuaishou.com/JfESauIY"/>
    <hyperlink ref="N26" r:id="rId29" display="https://v.kuaishou.com/JH0izg3N"/>
  </hyperlink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8"/>
  </sheetPr>
  <dimension ref="A1:M12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C19" sqref="C19"/>
    </sheetView>
  </sheetViews>
  <sheetFormatPr defaultColWidth="9.81666666666667" defaultRowHeight="14.25"/>
  <cols>
    <col min="1" max="2" width="9" style="33"/>
    <col min="3" max="3" width="19.4583333333333" style="33" customWidth="1"/>
    <col min="4" max="4" width="15.4416666666667" style="33" customWidth="1"/>
    <col min="5" max="6" width="11.9" style="33" customWidth="1"/>
    <col min="7" max="7" width="34.7583333333333" style="57" customWidth="1"/>
    <col min="8" max="9" width="8.625" style="33" customWidth="1"/>
    <col min="10" max="13" width="13.3583333333333" style="33" customWidth="1"/>
    <col min="14" max="16374" width="9" style="33"/>
    <col min="16375" max="16377" width="9.64166666666667" style="33"/>
    <col min="16378" max="16384" width="9.81666666666667" style="33"/>
  </cols>
  <sheetData>
    <row r="1" s="33" customFormat="1" ht="70" customHeight="1" spans="1:13">
      <c r="A1" s="58" t="s">
        <v>1652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="33" customFormat="1" ht="30" customHeight="1" spans="1:13">
      <c r="A2" s="59" t="s">
        <v>7</v>
      </c>
      <c r="B2" s="59" t="s">
        <v>9</v>
      </c>
      <c r="C2" s="59" t="s">
        <v>1653</v>
      </c>
      <c r="D2" s="59" t="s">
        <v>1654</v>
      </c>
      <c r="E2" s="59" t="s">
        <v>1289</v>
      </c>
      <c r="F2" s="59" t="s">
        <v>1655</v>
      </c>
      <c r="G2" s="59" t="s">
        <v>1597</v>
      </c>
      <c r="H2" s="59" t="s">
        <v>1291</v>
      </c>
      <c r="I2" s="59" t="s">
        <v>1148</v>
      </c>
      <c r="J2" s="59" t="s">
        <v>1656</v>
      </c>
      <c r="K2" s="59" t="s">
        <v>1657</v>
      </c>
      <c r="L2" s="59" t="s">
        <v>1658</v>
      </c>
      <c r="M2" s="59" t="s">
        <v>1659</v>
      </c>
    </row>
    <row r="3" s="33" customFormat="1" ht="40" customHeight="1" spans="1:13">
      <c r="A3" s="37">
        <v>1</v>
      </c>
      <c r="B3" s="60" t="str">
        <f>_xlfn.DISPIMG("ID_5BA8960DA9DB42B0B6587B58B3D08D39",1)</f>
        <v>=DISPIMG("ID_5BA8960DA9DB42B0B6587B58B3D08D39",1)</v>
      </c>
      <c r="C3" s="61" t="s">
        <v>32</v>
      </c>
      <c r="D3" s="62">
        <v>30139938</v>
      </c>
      <c r="E3" s="63">
        <v>1836352</v>
      </c>
      <c r="F3" s="63">
        <v>15008275</v>
      </c>
      <c r="G3" s="61" t="s">
        <v>1660</v>
      </c>
      <c r="H3" s="37" t="s">
        <v>45</v>
      </c>
      <c r="I3" s="64" t="s">
        <v>1661</v>
      </c>
      <c r="J3" s="37">
        <v>1800000</v>
      </c>
      <c r="K3" s="37" t="s">
        <v>1662</v>
      </c>
      <c r="L3" s="37" t="s">
        <v>40</v>
      </c>
      <c r="M3" s="37" t="s">
        <v>40</v>
      </c>
    </row>
    <row r="4" s="33" customFormat="1" ht="40" customHeight="1" spans="1:13">
      <c r="A4" s="43">
        <v>2</v>
      </c>
      <c r="B4" s="65" t="str">
        <f>_xlfn.DISPIMG("ID_F79D9C42E0B9416AB978B02977D16978",1)</f>
        <v>=DISPIMG("ID_F79D9C42E0B9416AB978B02977D16978",1)</v>
      </c>
      <c r="C4" s="66" t="s">
        <v>1663</v>
      </c>
      <c r="D4" s="67">
        <v>686354330</v>
      </c>
      <c r="E4" s="68">
        <v>912428</v>
      </c>
      <c r="F4" s="68">
        <v>5519623</v>
      </c>
      <c r="G4" s="66" t="s">
        <v>1664</v>
      </c>
      <c r="H4" s="43" t="s">
        <v>45</v>
      </c>
      <c r="I4" s="43" t="s">
        <v>117</v>
      </c>
      <c r="J4" s="43">
        <v>25000</v>
      </c>
      <c r="K4" s="43" t="s">
        <v>40</v>
      </c>
      <c r="L4" s="43" t="s">
        <v>40</v>
      </c>
      <c r="M4" s="43" t="s">
        <v>40</v>
      </c>
    </row>
    <row r="5" s="33" customFormat="1" ht="40" customHeight="1" spans="1:13">
      <c r="A5" s="37">
        <v>3</v>
      </c>
      <c r="B5" s="60" t="str">
        <f>_xlfn.DISPIMG("ID_17F8DAE0FB3944338FDD5DD9E57873C1",1)</f>
        <v>=DISPIMG("ID_17F8DAE0FB3944338FDD5DD9E57873C1",1)</v>
      </c>
      <c r="C5" s="61" t="s">
        <v>1665</v>
      </c>
      <c r="D5" s="62">
        <v>1752056466</v>
      </c>
      <c r="E5" s="63">
        <v>536685</v>
      </c>
      <c r="F5" s="63">
        <v>8930065</v>
      </c>
      <c r="G5" s="61" t="s">
        <v>1666</v>
      </c>
      <c r="H5" s="37" t="s">
        <v>45</v>
      </c>
      <c r="I5" s="64" t="s">
        <v>1661</v>
      </c>
      <c r="J5" s="37">
        <v>200000</v>
      </c>
      <c r="K5" s="37">
        <v>40000</v>
      </c>
      <c r="L5" s="37">
        <v>60000</v>
      </c>
      <c r="M5" s="37">
        <v>30000</v>
      </c>
    </row>
    <row r="6" s="33" customFormat="1" ht="40" customHeight="1" spans="1:13">
      <c r="A6" s="43">
        <v>4</v>
      </c>
      <c r="B6" s="65" t="str">
        <f>_xlfn.DISPIMG("ID_F0EE0381F5B1436DAEEE251ADF939B0E",1)</f>
        <v>=DISPIMG("ID_F0EE0381F5B1436DAEEE251ADF939B0E",1)</v>
      </c>
      <c r="C6" s="66" t="s">
        <v>1398</v>
      </c>
      <c r="D6" s="300" t="s">
        <v>1667</v>
      </c>
      <c r="E6" s="68">
        <v>88352</v>
      </c>
      <c r="F6" s="68">
        <v>666116</v>
      </c>
      <c r="G6" s="66" t="s">
        <v>1668</v>
      </c>
      <c r="H6" s="43" t="s">
        <v>45</v>
      </c>
      <c r="I6" s="43" t="s">
        <v>1091</v>
      </c>
      <c r="J6" s="43" t="s">
        <v>40</v>
      </c>
      <c r="K6" s="43" t="s">
        <v>1669</v>
      </c>
      <c r="L6" s="43" t="s">
        <v>40</v>
      </c>
      <c r="M6" s="43" t="s">
        <v>40</v>
      </c>
    </row>
    <row r="7" s="33" customFormat="1" ht="40" customHeight="1" spans="1:13">
      <c r="A7" s="37">
        <v>5</v>
      </c>
      <c r="B7" s="60" t="str">
        <f>_xlfn.DISPIMG("ID_CB3295A1027744EC857B486DC6893A52",1)</f>
        <v>=DISPIMG("ID_CB3295A1027744EC857B486DC6893A52",1)</v>
      </c>
      <c r="C7" s="61" t="s">
        <v>258</v>
      </c>
      <c r="D7" s="62">
        <v>2069267165</v>
      </c>
      <c r="E7" s="63">
        <v>90779</v>
      </c>
      <c r="F7" s="63">
        <v>1026918</v>
      </c>
      <c r="G7" s="61" t="s">
        <v>1670</v>
      </c>
      <c r="H7" s="37" t="s">
        <v>45</v>
      </c>
      <c r="I7" s="64" t="s">
        <v>1661</v>
      </c>
      <c r="J7" s="37" t="s">
        <v>40</v>
      </c>
      <c r="K7" s="37" t="s">
        <v>1671</v>
      </c>
      <c r="L7" s="37">
        <v>10000</v>
      </c>
      <c r="M7" s="37">
        <v>6000</v>
      </c>
    </row>
    <row r="8" s="33" customFormat="1" ht="40" customHeight="1" spans="1:13">
      <c r="A8" s="43">
        <v>6</v>
      </c>
      <c r="B8" s="65" t="str">
        <f>_xlfn.DISPIMG("ID_EBCA562BE6304D399B78784BF72C7A46",1)</f>
        <v>=DISPIMG("ID_EBCA562BE6304D399B78784BF72C7A46",1)</v>
      </c>
      <c r="C8" s="66" t="s">
        <v>279</v>
      </c>
      <c r="D8" s="67">
        <v>1171192768</v>
      </c>
      <c r="E8" s="68">
        <v>401689</v>
      </c>
      <c r="F8" s="68">
        <v>7237956</v>
      </c>
      <c r="G8" s="66" t="s">
        <v>1672</v>
      </c>
      <c r="H8" s="43" t="s">
        <v>45</v>
      </c>
      <c r="I8" s="43" t="s">
        <v>1661</v>
      </c>
      <c r="J8" s="43" t="s">
        <v>1673</v>
      </c>
      <c r="K8" s="43" t="s">
        <v>1674</v>
      </c>
      <c r="L8" s="43">
        <v>10000</v>
      </c>
      <c r="M8" s="43">
        <v>6000</v>
      </c>
    </row>
    <row r="9" s="33" customFormat="1" ht="40" customHeight="1" spans="1:13">
      <c r="A9" s="37">
        <v>7</v>
      </c>
      <c r="B9" s="60" t="str">
        <f>_xlfn.DISPIMG("ID_71A68A67E6D94B428053E8A3DDFE409E",1)</f>
        <v>=DISPIMG("ID_71A68A67E6D94B428053E8A3DDFE409E",1)</v>
      </c>
      <c r="C9" s="61" t="s">
        <v>1675</v>
      </c>
      <c r="D9" s="62">
        <v>438538373</v>
      </c>
      <c r="E9" s="63">
        <v>378202</v>
      </c>
      <c r="F9" s="63">
        <v>5311865</v>
      </c>
      <c r="G9" s="61" t="s">
        <v>1676</v>
      </c>
      <c r="H9" s="37" t="s">
        <v>45</v>
      </c>
      <c r="I9" s="64" t="s">
        <v>1602</v>
      </c>
      <c r="J9" s="37">
        <v>40000</v>
      </c>
      <c r="K9" s="37">
        <v>25000</v>
      </c>
      <c r="L9" s="37">
        <v>10000</v>
      </c>
      <c r="M9" s="37" t="s">
        <v>40</v>
      </c>
    </row>
    <row r="10" s="33" customFormat="1" ht="40" customHeight="1" spans="1:13">
      <c r="A10" s="43">
        <v>8</v>
      </c>
      <c r="B10" s="65" t="str">
        <f>_xlfn.DISPIMG("ID_C84293C4FCB849FA9DC9DEC789150165",1)</f>
        <v>=DISPIMG("ID_C84293C4FCB849FA9DC9DEC789150165",1)</v>
      </c>
      <c r="C10" s="66" t="s">
        <v>1677</v>
      </c>
      <c r="D10" s="67">
        <v>1476802359</v>
      </c>
      <c r="E10" s="68">
        <v>18685</v>
      </c>
      <c r="F10" s="68">
        <v>225176</v>
      </c>
      <c r="G10" s="66" t="s">
        <v>1678</v>
      </c>
      <c r="H10" s="43" t="s">
        <v>45</v>
      </c>
      <c r="I10" s="43" t="s">
        <v>1661</v>
      </c>
      <c r="J10" s="43" t="s">
        <v>40</v>
      </c>
      <c r="K10" s="43" t="s">
        <v>1669</v>
      </c>
      <c r="L10" s="43">
        <v>5000</v>
      </c>
      <c r="M10" s="43">
        <v>3000</v>
      </c>
    </row>
    <row r="11" s="33" customFormat="1" ht="40" customHeight="1" spans="1:13">
      <c r="A11" s="37">
        <v>9</v>
      </c>
      <c r="B11" s="60" t="str">
        <f>_xlfn.DISPIMG("ID_372925DD8CB0467B92525FA61EF5FB7D",1)</f>
        <v>=DISPIMG("ID_372925DD8CB0467B92525FA61EF5FB7D",1)</v>
      </c>
      <c r="C11" s="61" t="s">
        <v>1679</v>
      </c>
      <c r="D11" s="62">
        <v>1972786116</v>
      </c>
      <c r="E11" s="63">
        <v>10527</v>
      </c>
      <c r="F11" s="63">
        <v>92070</v>
      </c>
      <c r="G11" s="61" t="s">
        <v>1680</v>
      </c>
      <c r="H11" s="37" t="s">
        <v>45</v>
      </c>
      <c r="I11" s="64" t="s">
        <v>1661</v>
      </c>
      <c r="J11" s="37" t="s">
        <v>40</v>
      </c>
      <c r="K11" s="37" t="s">
        <v>1681</v>
      </c>
      <c r="L11" s="37">
        <v>5000</v>
      </c>
      <c r="M11" s="37">
        <v>3000</v>
      </c>
    </row>
    <row r="12" s="33" customFormat="1" ht="40" customHeight="1" spans="1:13">
      <c r="A12" s="69">
        <v>10</v>
      </c>
      <c r="B12" s="70" t="str">
        <f>_xlfn.DISPIMG("ID_467966D24D254DAFB9025E4824C38221",1)</f>
        <v>=DISPIMG("ID_467966D24D254DAFB9025E4824C38221",1)</v>
      </c>
      <c r="C12" s="71" t="s">
        <v>1682</v>
      </c>
      <c r="D12" s="72">
        <v>1376579261</v>
      </c>
      <c r="E12" s="73">
        <v>41978</v>
      </c>
      <c r="F12" s="73">
        <v>274445</v>
      </c>
      <c r="G12" s="71" t="s">
        <v>1683</v>
      </c>
      <c r="H12" s="69" t="s">
        <v>45</v>
      </c>
      <c r="I12" s="69" t="s">
        <v>1661</v>
      </c>
      <c r="J12" s="69">
        <v>10000</v>
      </c>
      <c r="K12" s="69" t="s">
        <v>1681</v>
      </c>
      <c r="L12" s="69">
        <v>5000</v>
      </c>
      <c r="M12" s="69">
        <v>3000</v>
      </c>
    </row>
  </sheetData>
  <autoFilter xmlns:etc="http://www.wps.cn/officeDocument/2017/etCustomData" ref="A2:M12" etc:filterBottomFollowUsedRange="0">
    <extLst/>
  </autoFilter>
  <mergeCells count="1">
    <mergeCell ref="A1:M1"/>
  </mergeCells>
  <hyperlinks>
    <hyperlink ref="G3" r:id="rId2" display="https://space.bilibili.com/30139938?spm_id_from=333.337.0.0" tooltip="https://space.bilibili.com/30139938?spm_id_from=333.337.0.0"/>
    <hyperlink ref="G5" r:id="rId3" display="https://space.bilibili.com/1752056466?spm_id_from=333.337.0.0" tooltip="https://space.bilibili.com/1752056466?spm_id_from=333.337.0.0"/>
    <hyperlink ref="G7" r:id="rId4" display="https://space.bilibili.com/2069267165?spm_id_from=333.337.0.0" tooltip="https://space.bilibili.com/2069267165?spm_id_from=333.337.0.0"/>
    <hyperlink ref="G8" r:id="rId5" display="https://space.bilibili.com/1171192768?spm_id_from=333.337.0.0" tooltip="https://space.bilibili.com/1171192768?spm_id_from=333.337.0.0"/>
    <hyperlink ref="G10" r:id="rId6" display="https://space.bilibili.com/1476802359?spm_id_from=333.337.0.0" tooltip="https://space.bilibili.com/1476802359?spm_id_from=333.337.0.0"/>
    <hyperlink ref="G11" r:id="rId7" display="https://space.bilibili.com/1972786116?spm_id_from=333.337.0.0" tooltip="https://space.bilibili.com/1972786116?spm_id_from=333.337.0.0"/>
    <hyperlink ref="G4" r:id="rId8" display="https://space.bilibili.com/686354330?spm_id_from=333.337.0.0" tooltip="https://space.bilibili.com/686354330?spm_id_from=333.337.0.0"/>
    <hyperlink ref="G9" r:id="rId9" display="https://space.bilibili.com/438538373?spm_id_from=333.337.0.0"/>
    <hyperlink ref="G12" r:id="rId10" display="https://space.bilibili.com/1376579261?spm_id_from=333.337.0.0"/>
    <hyperlink ref="G6" r:id="rId11" display="https://space.bilibili.com/3494370374322460?spm_id_from=333.337.0.0"/>
  </hyperlinks>
  <pageMargins left="0.75" right="0.75" top="1" bottom="1" header="0.5" footer="0.5"/>
  <pageSetup paperSize="9" orientation="portrait"/>
  <headerFooter/>
  <ignoredErrors>
    <ignoredError sqref="D6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6"/>
  </sheetPr>
  <dimension ref="A1:H7"/>
  <sheetViews>
    <sheetView workbookViewId="0">
      <pane ySplit="2" topLeftCell="A3" activePane="bottomLeft" state="frozen"/>
      <selection/>
      <selection pane="bottomLeft" activeCell="E18" sqref="E18"/>
    </sheetView>
  </sheetViews>
  <sheetFormatPr defaultColWidth="9.81666666666667" defaultRowHeight="13.5" outlineLevelRow="6" outlineLevelCol="7"/>
  <cols>
    <col min="1" max="1" width="9" style="33"/>
    <col min="2" max="3" width="7.625" style="33" customWidth="1"/>
    <col min="4" max="4" width="33.2666666666667" style="33" customWidth="1"/>
    <col min="5" max="5" width="15.1416666666667" style="34" customWidth="1"/>
    <col min="6" max="6" width="15.1416666666667" style="33" customWidth="1"/>
    <col min="7" max="7" width="15.5" style="35" customWidth="1"/>
    <col min="8" max="8" width="29.875" style="33" customWidth="1"/>
    <col min="9" max="16377" width="9" style="33"/>
    <col min="16378" max="16383" width="9.64166666666667" style="33"/>
    <col min="16384" max="16384" width="9.81666666666667" style="33"/>
  </cols>
  <sheetData>
    <row r="1" s="33" customFormat="1" ht="70" customHeight="1" spans="1:8">
      <c r="A1" s="7" t="s">
        <v>1684</v>
      </c>
      <c r="B1" s="7"/>
      <c r="C1" s="7"/>
      <c r="D1" s="7"/>
      <c r="E1" s="7"/>
      <c r="F1" s="7"/>
      <c r="G1" s="7"/>
      <c r="H1" s="7"/>
    </row>
    <row r="2" s="1" customFormat="1" ht="30" customHeight="1" spans="1:8">
      <c r="A2" s="36" t="s">
        <v>1540</v>
      </c>
      <c r="B2" s="36" t="s">
        <v>7</v>
      </c>
      <c r="C2" s="36" t="s">
        <v>9</v>
      </c>
      <c r="D2" s="36" t="s">
        <v>1685</v>
      </c>
      <c r="E2" s="36" t="s">
        <v>1543</v>
      </c>
      <c r="F2" s="36" t="s">
        <v>1686</v>
      </c>
      <c r="G2" s="36" t="s">
        <v>1545</v>
      </c>
      <c r="H2" s="36" t="s">
        <v>1597</v>
      </c>
    </row>
    <row r="3" s="1" customFormat="1" ht="40" customHeight="1" spans="1:8">
      <c r="A3" s="37" t="s">
        <v>435</v>
      </c>
      <c r="B3" s="38">
        <v>1</v>
      </c>
      <c r="C3" s="39" t="str">
        <f>_xlfn.DISPIMG("ID_B80174DB818F42F89E0B16F62B09933C",1)</f>
        <v>=DISPIMG("ID_B80174DB818F42F89E0B16F62B09933C",1)</v>
      </c>
      <c r="D3" s="37" t="s">
        <v>1687</v>
      </c>
      <c r="E3" s="40">
        <v>1033</v>
      </c>
      <c r="F3" s="41">
        <v>80000</v>
      </c>
      <c r="G3" s="41">
        <v>8000</v>
      </c>
      <c r="H3" s="42" t="s">
        <v>1688</v>
      </c>
    </row>
    <row r="4" s="1" customFormat="1" ht="40" customHeight="1" spans="1:8">
      <c r="A4" s="43" t="s">
        <v>924</v>
      </c>
      <c r="B4" s="44">
        <v>2</v>
      </c>
      <c r="C4" s="45" t="str">
        <f>_xlfn.DISPIMG("ID_99668B7599544B11ACEEA3FF1EB72326",1)</f>
        <v>=DISPIMG("ID_99668B7599544B11ACEEA3FF1EB72326",1)</v>
      </c>
      <c r="D4" s="43" t="s">
        <v>944</v>
      </c>
      <c r="E4" s="46">
        <v>328</v>
      </c>
      <c r="F4" s="47">
        <v>50000</v>
      </c>
      <c r="G4" s="47">
        <v>5000</v>
      </c>
      <c r="H4" s="48" t="s">
        <v>1689</v>
      </c>
    </row>
    <row r="5" s="1" customFormat="1" ht="40" customHeight="1" spans="1:8">
      <c r="A5" s="37" t="s">
        <v>435</v>
      </c>
      <c r="B5" s="38">
        <v>3</v>
      </c>
      <c r="C5" s="39" t="str">
        <f>_xlfn.DISPIMG("ID_66734896A6CE47A2BD8361F520FC4D67",1)</f>
        <v>=DISPIMG("ID_66734896A6CE47A2BD8361F520FC4D67",1)</v>
      </c>
      <c r="D5" s="37" t="s">
        <v>386</v>
      </c>
      <c r="E5" s="40">
        <v>128</v>
      </c>
      <c r="F5" s="41">
        <v>50000</v>
      </c>
      <c r="G5" s="41">
        <v>8000</v>
      </c>
      <c r="H5" s="42" t="s">
        <v>1690</v>
      </c>
    </row>
    <row r="6" s="1" customFormat="1" ht="40" customHeight="1" spans="1:8">
      <c r="A6" s="43" t="s">
        <v>924</v>
      </c>
      <c r="B6" s="44">
        <v>4</v>
      </c>
      <c r="C6" s="45" t="str">
        <f>_xlfn.DISPIMG("ID_AAD39A6E8CE0488386F06F9435D649BA",1)</f>
        <v>=DISPIMG("ID_AAD39A6E8CE0488386F06F9435D649BA",1)</v>
      </c>
      <c r="D6" s="49" t="s">
        <v>1691</v>
      </c>
      <c r="E6" s="46">
        <v>422</v>
      </c>
      <c r="F6" s="47">
        <v>80000</v>
      </c>
      <c r="G6" s="47">
        <v>10000</v>
      </c>
      <c r="H6" s="48" t="s">
        <v>1692</v>
      </c>
    </row>
    <row r="7" s="1" customFormat="1" ht="40" customHeight="1" spans="1:8">
      <c r="A7" s="50" t="s">
        <v>435</v>
      </c>
      <c r="B7" s="51">
        <v>5</v>
      </c>
      <c r="C7" s="52" t="str">
        <f>_xlfn.DISPIMG("ID_FA9FF34377084D008B1E566C0AFB056C",1)</f>
        <v>=DISPIMG("ID_FA9FF34377084D008B1E566C0AFB056C",1)</v>
      </c>
      <c r="D7" s="53" t="s">
        <v>1693</v>
      </c>
      <c r="E7" s="54">
        <v>173</v>
      </c>
      <c r="F7" s="55">
        <v>15000</v>
      </c>
      <c r="G7" s="55">
        <v>1000</v>
      </c>
      <c r="H7" s="56" t="s">
        <v>1694</v>
      </c>
    </row>
  </sheetData>
  <autoFilter xmlns:etc="http://www.wps.cn/officeDocument/2017/etCustomData" ref="A2:H7" etc:filterBottomFollowUsedRange="0">
    <extLst/>
  </autoFilter>
  <mergeCells count="1">
    <mergeCell ref="A1:H1"/>
  </mergeCells>
  <hyperlinks>
    <hyperlink ref="H4" r:id="rId2" display="https://is.snssdk.com/motor/ugc/profile.html?link_source=share&amp;the_user_id=997974094390888"/>
    <hyperlink ref="H6" r:id="rId3" display="https://is.snssdk.com/motor/ugc/profile.html?link_source=share&amp;the_user_id=3413348012532631"/>
    <hyperlink ref="H5" r:id="rId4" display="https://is.snssdk.com/motor/ugc/profile.html?link_source=share&amp;the_user_id=104402962924"/>
    <hyperlink ref="H3" r:id="rId5" display="https://is.snssdk.com/motor/ugc/profile.html?link_source=share&amp;the_user_id=73208712518"/>
    <hyperlink ref="H7" r:id="rId6" display="https://is.snssdk.com/motor/ugc/profile.html?link_source=share&amp;the_user_id=997944708048468"/>
  </hyperlink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N31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S10" sqref="S10"/>
    </sheetView>
  </sheetViews>
  <sheetFormatPr defaultColWidth="9.81666666666667" defaultRowHeight="13.5"/>
  <cols>
    <col min="1" max="1" width="4.625" style="1" customWidth="1"/>
    <col min="2" max="2" width="5.83333333333333" style="1" customWidth="1"/>
    <col min="3" max="3" width="13.625" style="4" customWidth="1"/>
    <col min="4" max="4" width="15.375" style="5" customWidth="1"/>
    <col min="5" max="5" width="9.625" style="1" customWidth="1"/>
    <col min="6" max="6" width="25.625" style="1" customWidth="1"/>
    <col min="7" max="7" width="23.625" style="4" customWidth="1"/>
    <col min="8" max="8" width="6.625" style="4" customWidth="1"/>
    <col min="9" max="9" width="5.75" style="1" customWidth="1"/>
    <col min="10" max="12" width="9.625" style="1" customWidth="1"/>
    <col min="13" max="13" width="38.125" style="1" customWidth="1"/>
    <col min="14" max="14" width="7.375" style="1" customWidth="1"/>
    <col min="15" max="15" width="10.625" style="1" customWidth="1"/>
    <col min="16" max="16" width="33.025" style="1" customWidth="1"/>
    <col min="17" max="19" width="10.625" style="1" customWidth="1"/>
    <col min="20" max="20" width="18.375" style="1" customWidth="1"/>
    <col min="21" max="21" width="27.1416666666667" style="1" customWidth="1"/>
    <col min="22" max="22" width="8" style="1" customWidth="1"/>
    <col min="23" max="23" width="10.375" style="6"/>
    <col min="24" max="24" width="12.625" style="1"/>
    <col min="25" max="16382" width="9.64166666666667" style="1"/>
    <col min="16383" max="16384" width="9.81666666666667" style="1"/>
  </cols>
  <sheetData>
    <row r="1" s="1" customFormat="1" ht="70" customHeight="1" spans="1:14">
      <c r="A1" s="7" t="s">
        <v>6</v>
      </c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</row>
    <row r="2" s="2" customFormat="1" ht="30" customHeight="1" spans="1:14">
      <c r="A2" s="9" t="s">
        <v>7</v>
      </c>
      <c r="B2" s="9" t="s">
        <v>9</v>
      </c>
      <c r="C2" s="9" t="s">
        <v>10</v>
      </c>
      <c r="D2" s="9" t="s">
        <v>12</v>
      </c>
      <c r="E2" s="9" t="s">
        <v>1150</v>
      </c>
      <c r="F2" s="9" t="s">
        <v>14</v>
      </c>
      <c r="G2" s="10" t="s">
        <v>1695</v>
      </c>
      <c r="H2" s="11" t="s">
        <v>1151</v>
      </c>
      <c r="I2" s="11" t="s">
        <v>18</v>
      </c>
      <c r="J2" s="12" t="s">
        <v>20</v>
      </c>
      <c r="K2" s="12" t="s">
        <v>21</v>
      </c>
      <c r="L2" s="12" t="s">
        <v>22</v>
      </c>
      <c r="M2" s="9" t="s">
        <v>1152</v>
      </c>
      <c r="N2" s="9" t="s">
        <v>30</v>
      </c>
    </row>
    <row r="3" customFormat="1" ht="35" customHeight="1" spans="1:14">
      <c r="A3" s="13">
        <v>1</v>
      </c>
      <c r="B3" t="str">
        <f>_xlfn.DISPIMG("ID_85C4102039844E04A2AC7A5F27147A90",1)</f>
        <v>=DISPIMG("ID_85C4102039844E04A2AC7A5F27147A90",1)</v>
      </c>
      <c r="C3" s="14" t="s">
        <v>1407</v>
      </c>
      <c r="D3" s="15" t="s">
        <v>1696</v>
      </c>
      <c r="E3" s="14" t="s">
        <v>631</v>
      </c>
      <c r="F3" s="14" t="s">
        <v>1697</v>
      </c>
      <c r="G3" s="13" t="s">
        <v>1698</v>
      </c>
      <c r="H3" s="16">
        <v>44.9</v>
      </c>
      <c r="I3" s="17">
        <v>483.3</v>
      </c>
      <c r="J3" s="18">
        <v>60000</v>
      </c>
      <c r="K3" s="18">
        <v>70000</v>
      </c>
      <c r="L3" s="18">
        <v>70000</v>
      </c>
      <c r="M3" s="13" t="s">
        <v>1699</v>
      </c>
      <c r="N3" s="14" t="s">
        <v>45</v>
      </c>
    </row>
    <row r="4" customFormat="1" ht="35" customHeight="1" spans="1:14">
      <c r="A4" s="14">
        <v>2</v>
      </c>
      <c r="B4" s="19" t="str">
        <f>_xlfn.DISPIMG("ID_8E572C28C332409CBC778FAC9CC485EE",1)</f>
        <v>=DISPIMG("ID_8E572C28C332409CBC778FAC9CC485EE",1)</v>
      </c>
      <c r="C4" s="14" t="s">
        <v>1700</v>
      </c>
      <c r="D4" s="15" t="s">
        <v>1701</v>
      </c>
      <c r="E4" s="14" t="s">
        <v>1702</v>
      </c>
      <c r="F4" s="14" t="s">
        <v>1703</v>
      </c>
      <c r="G4" s="13" t="s">
        <v>1704</v>
      </c>
      <c r="H4" s="16">
        <v>156.5</v>
      </c>
      <c r="I4" s="17">
        <v>368.9</v>
      </c>
      <c r="J4" s="20">
        <v>38000</v>
      </c>
      <c r="K4" s="20">
        <v>38000</v>
      </c>
      <c r="L4" s="20">
        <v>48000</v>
      </c>
      <c r="M4" s="13" t="s">
        <v>1705</v>
      </c>
      <c r="N4" s="14" t="s">
        <v>45</v>
      </c>
    </row>
    <row r="5" customFormat="1" ht="35" customHeight="1" spans="1:14">
      <c r="A5" s="14">
        <v>3</v>
      </c>
      <c r="B5" s="19" t="str">
        <f>_xlfn.DISPIMG("ID_0580F2861D774B8A81FE11D0A7A751A0",1)</f>
        <v>=DISPIMG("ID_0580F2861D774B8A81FE11D0A7A751A0",1)</v>
      </c>
      <c r="C5" s="14" t="s">
        <v>1706</v>
      </c>
      <c r="D5" s="15" t="s">
        <v>1707</v>
      </c>
      <c r="E5" s="14" t="s">
        <v>1708</v>
      </c>
      <c r="F5" s="14" t="s">
        <v>1709</v>
      </c>
      <c r="G5" s="13" t="s">
        <v>1710</v>
      </c>
      <c r="H5" s="16">
        <v>203.4</v>
      </c>
      <c r="I5" s="17">
        <v>36.6</v>
      </c>
      <c r="J5" s="20">
        <v>75000</v>
      </c>
      <c r="K5" s="20">
        <v>150000</v>
      </c>
      <c r="L5" s="20">
        <v>200000</v>
      </c>
      <c r="M5" s="13" t="s">
        <v>1711</v>
      </c>
      <c r="N5" s="14" t="s">
        <v>562</v>
      </c>
    </row>
    <row r="6" customFormat="1" ht="35" customHeight="1" spans="1:14">
      <c r="A6" s="14">
        <v>4</v>
      </c>
      <c r="B6" s="19" t="str">
        <f>_xlfn.DISPIMG("ID_51CC1604D87B4A769D49B1E9D059D9BE",1)</f>
        <v>=DISPIMG("ID_51CC1604D87B4A769D49B1E9D059D9BE",1)</v>
      </c>
      <c r="C6" s="14" t="s">
        <v>1712</v>
      </c>
      <c r="D6" s="15" t="s">
        <v>1713</v>
      </c>
      <c r="E6" s="14" t="s">
        <v>1091</v>
      </c>
      <c r="F6" s="14" t="s">
        <v>1714</v>
      </c>
      <c r="G6" s="13" t="s">
        <v>1715</v>
      </c>
      <c r="H6" s="16">
        <v>1114.5</v>
      </c>
      <c r="I6" s="17" t="s">
        <v>40</v>
      </c>
      <c r="J6" s="21">
        <v>105000</v>
      </c>
      <c r="K6" s="21">
        <v>120000</v>
      </c>
      <c r="L6" s="21">
        <v>150000</v>
      </c>
      <c r="M6" s="13" t="s">
        <v>1716</v>
      </c>
      <c r="N6" s="14" t="s">
        <v>302</v>
      </c>
    </row>
    <row r="7" customFormat="1" ht="35" customHeight="1" spans="1:14">
      <c r="A7" s="13">
        <v>5</v>
      </c>
      <c r="B7" s="22" t="str">
        <f>_xlfn.DISPIMG("ID_EFDCC538D76946D78B7EB98783933944",1)</f>
        <v>=DISPIMG("ID_EFDCC538D76946D78B7EB98783933944",1)</v>
      </c>
      <c r="C7" s="14" t="s">
        <v>1717</v>
      </c>
      <c r="D7" s="15" t="s">
        <v>1718</v>
      </c>
      <c r="E7" s="14" t="s">
        <v>1091</v>
      </c>
      <c r="F7" s="14" t="s">
        <v>1719</v>
      </c>
      <c r="G7" s="13" t="s">
        <v>1720</v>
      </c>
      <c r="H7" s="16">
        <v>165.9</v>
      </c>
      <c r="I7" s="17">
        <v>235.8</v>
      </c>
      <c r="J7" s="18">
        <v>25000</v>
      </c>
      <c r="K7" s="18">
        <v>28000</v>
      </c>
      <c r="L7" s="18">
        <v>35000</v>
      </c>
      <c r="M7" s="13" t="s">
        <v>1721</v>
      </c>
      <c r="N7" s="14" t="s">
        <v>45</v>
      </c>
    </row>
    <row r="8" customFormat="1" ht="35" customHeight="1" spans="1:14">
      <c r="A8" s="14">
        <v>6</v>
      </c>
      <c r="B8" s="22" t="str">
        <f>_xlfn.DISPIMG("ID_C600F1E9B9CF4B69911956C74DD8409F",1)</f>
        <v>=DISPIMG("ID_C600F1E9B9CF4B69911956C74DD8409F",1)</v>
      </c>
      <c r="C8" s="14" t="s">
        <v>1722</v>
      </c>
      <c r="D8" s="23" t="s">
        <v>1723</v>
      </c>
      <c r="E8" s="14" t="s">
        <v>1091</v>
      </c>
      <c r="F8" s="14" t="s">
        <v>1724</v>
      </c>
      <c r="G8" s="13" t="s">
        <v>1725</v>
      </c>
      <c r="H8" s="16">
        <v>107.7</v>
      </c>
      <c r="I8" s="17">
        <v>6.8</v>
      </c>
      <c r="J8" s="20">
        <v>8000</v>
      </c>
      <c r="K8" s="20">
        <v>10000</v>
      </c>
      <c r="L8" s="20">
        <v>13000</v>
      </c>
      <c r="M8" s="13" t="s">
        <v>1726</v>
      </c>
      <c r="N8" s="14" t="s">
        <v>45</v>
      </c>
    </row>
    <row r="9" customFormat="1" ht="35" customHeight="1" spans="1:14">
      <c r="A9" s="13">
        <v>7</v>
      </c>
      <c r="B9" t="str">
        <f>_xlfn.DISPIMG("ID_1972622F78944F3B80240176D8C71F27",1)</f>
        <v>=DISPIMG("ID_1972622F78944F3B80240176D8C71F27",1)</v>
      </c>
      <c r="C9" s="14" t="s">
        <v>1573</v>
      </c>
      <c r="D9" s="15">
        <v>66548904980</v>
      </c>
      <c r="E9" s="14" t="s">
        <v>478</v>
      </c>
      <c r="F9" s="14" t="s">
        <v>1727</v>
      </c>
      <c r="G9" s="13" t="s">
        <v>1728</v>
      </c>
      <c r="H9" s="16">
        <v>34.2</v>
      </c>
      <c r="I9" s="17" t="s">
        <v>40</v>
      </c>
      <c r="J9" s="18">
        <v>13000</v>
      </c>
      <c r="K9" s="18">
        <v>17000</v>
      </c>
      <c r="L9" s="18">
        <v>22000</v>
      </c>
      <c r="M9" s="13" t="s">
        <v>40</v>
      </c>
      <c r="N9" s="14" t="s">
        <v>943</v>
      </c>
    </row>
    <row r="10" customFormat="1" ht="35" customHeight="1" spans="1:14">
      <c r="A10" s="13">
        <v>8</v>
      </c>
      <c r="B10" s="19" t="str">
        <f>_xlfn.DISPIMG("ID_239842D3F75A4FE68730B55C4EC3A2AF",1)</f>
        <v>=DISPIMG("ID_239842D3F75A4FE68730B55C4EC3A2AF",1)</v>
      </c>
      <c r="C10" s="14" t="s">
        <v>1729</v>
      </c>
      <c r="D10" s="15" t="s">
        <v>1730</v>
      </c>
      <c r="E10" s="16" t="s">
        <v>435</v>
      </c>
      <c r="F10" s="14" t="s">
        <v>1731</v>
      </c>
      <c r="G10" s="13" t="s">
        <v>1732</v>
      </c>
      <c r="H10" s="16">
        <v>34.7</v>
      </c>
      <c r="I10" s="17">
        <v>643.8</v>
      </c>
      <c r="J10" s="18">
        <v>15000</v>
      </c>
      <c r="K10" s="18">
        <v>15000</v>
      </c>
      <c r="L10" s="18">
        <v>32000</v>
      </c>
      <c r="M10" s="13" t="s">
        <v>1733</v>
      </c>
      <c r="N10" s="14" t="s">
        <v>45</v>
      </c>
    </row>
    <row r="11" customFormat="1" ht="35" customHeight="1" spans="1:14">
      <c r="A11" s="14">
        <v>9</v>
      </c>
      <c r="B11" s="19" t="str">
        <f>_xlfn.DISPIMG("ID_61797551686346DC9014A66E142A21ED",1)</f>
        <v>=DISPIMG("ID_61797551686346DC9014A66E142A21ED",1)</v>
      </c>
      <c r="C11" s="14" t="s">
        <v>1734</v>
      </c>
      <c r="D11" s="15">
        <v>24900362122</v>
      </c>
      <c r="E11" s="14" t="s">
        <v>1735</v>
      </c>
      <c r="F11" s="14" t="s">
        <v>1736</v>
      </c>
      <c r="G11" s="13" t="s">
        <v>1737</v>
      </c>
      <c r="H11" s="16">
        <v>56.7</v>
      </c>
      <c r="I11" s="17">
        <v>252</v>
      </c>
      <c r="J11" s="20">
        <v>8200</v>
      </c>
      <c r="K11" s="20">
        <v>11000</v>
      </c>
      <c r="L11" s="20">
        <v>15000</v>
      </c>
      <c r="M11" s="13" t="s">
        <v>1738</v>
      </c>
      <c r="N11" s="14" t="s">
        <v>679</v>
      </c>
    </row>
    <row r="12" customFormat="1" ht="35" customHeight="1" spans="1:14">
      <c r="A12" s="13">
        <v>10</v>
      </c>
      <c r="B12" s="19" t="str">
        <f>_xlfn.DISPIMG("ID_0F56D0A8EA4C4786AD6FCABB58AB23E6",1)</f>
        <v>=DISPIMG("ID_0F56D0A8EA4C4786AD6FCABB58AB23E6",1)</v>
      </c>
      <c r="C12" s="14" t="s">
        <v>1739</v>
      </c>
      <c r="D12" s="15" t="s">
        <v>1740</v>
      </c>
      <c r="E12" s="24" t="s">
        <v>823</v>
      </c>
      <c r="F12" s="14" t="s">
        <v>1741</v>
      </c>
      <c r="G12" s="13" t="s">
        <v>1742</v>
      </c>
      <c r="H12" s="16">
        <v>695.8</v>
      </c>
      <c r="I12" s="17">
        <v>50.5</v>
      </c>
      <c r="J12" s="25">
        <v>70000</v>
      </c>
      <c r="K12" s="25">
        <v>90000</v>
      </c>
      <c r="L12" s="25">
        <v>95000</v>
      </c>
      <c r="M12" s="13" t="s">
        <v>1743</v>
      </c>
      <c r="N12" s="14" t="s">
        <v>45</v>
      </c>
    </row>
    <row r="13" customFormat="1" ht="35" customHeight="1" spans="1:14">
      <c r="A13" s="13">
        <v>11</v>
      </c>
      <c r="B13" s="19" t="str">
        <f>_xlfn.DISPIMG("ID_2031D1DA6A704E79BB7A156D3A8FFDD8",1)</f>
        <v>=DISPIMG("ID_2031D1DA6A704E79BB7A156D3A8FFDD8",1)</v>
      </c>
      <c r="C13" s="14" t="s">
        <v>1466</v>
      </c>
      <c r="D13" s="15" t="s">
        <v>1744</v>
      </c>
      <c r="E13" s="24" t="s">
        <v>48</v>
      </c>
      <c r="F13" s="14" t="s">
        <v>1745</v>
      </c>
      <c r="G13" s="13" t="s">
        <v>1746</v>
      </c>
      <c r="H13" s="16">
        <v>380.8</v>
      </c>
      <c r="I13" s="17">
        <v>286.9</v>
      </c>
      <c r="J13" s="18">
        <v>48000</v>
      </c>
      <c r="K13" s="18">
        <v>48000</v>
      </c>
      <c r="L13" s="18">
        <v>68000</v>
      </c>
      <c r="M13" s="13" t="s">
        <v>1747</v>
      </c>
      <c r="N13" s="14" t="s">
        <v>45</v>
      </c>
    </row>
    <row r="14" customFormat="1" ht="35" customHeight="1" spans="1:14">
      <c r="A14" s="13">
        <v>12</v>
      </c>
      <c r="B14" s="19" t="str">
        <f>_xlfn.DISPIMG("ID_8F6E789AFED045BC8BD281E8D1E2E449",1)</f>
        <v>=DISPIMG("ID_8F6E789AFED045BC8BD281E8D1E2E449",1)</v>
      </c>
      <c r="C14" s="14" t="s">
        <v>1748</v>
      </c>
      <c r="D14" s="15" t="s">
        <v>1749</v>
      </c>
      <c r="E14" s="24" t="s">
        <v>117</v>
      </c>
      <c r="F14" s="14" t="s">
        <v>1750</v>
      </c>
      <c r="G14" s="13" t="s">
        <v>1751</v>
      </c>
      <c r="H14" s="16">
        <v>322.1</v>
      </c>
      <c r="I14" s="17">
        <v>51.1</v>
      </c>
      <c r="J14" s="18">
        <v>45000</v>
      </c>
      <c r="K14" s="18">
        <v>55000</v>
      </c>
      <c r="L14" s="18">
        <v>65000</v>
      </c>
      <c r="M14" s="13" t="s">
        <v>1752</v>
      </c>
      <c r="N14" s="14" t="s">
        <v>573</v>
      </c>
    </row>
    <row r="15" customFormat="1" ht="35" customHeight="1" spans="1:14">
      <c r="A15" s="13">
        <v>13</v>
      </c>
      <c r="B15" s="19" t="str">
        <f>_xlfn.DISPIMG("ID_5FDE35B0268C46BCB70D6DA4A875921A",1)</f>
        <v>=DISPIMG("ID_5FDE35B0268C46BCB70D6DA4A875921A",1)</v>
      </c>
      <c r="C15" s="14" t="s">
        <v>1753</v>
      </c>
      <c r="D15" s="15" t="s">
        <v>1754</v>
      </c>
      <c r="E15" s="14" t="s">
        <v>117</v>
      </c>
      <c r="F15" s="14" t="s">
        <v>1755</v>
      </c>
      <c r="G15" s="13" t="s">
        <v>1756</v>
      </c>
      <c r="H15" s="16">
        <v>131.4</v>
      </c>
      <c r="I15" s="17">
        <v>650.5</v>
      </c>
      <c r="J15" s="18">
        <v>20000</v>
      </c>
      <c r="K15" s="18">
        <v>30000</v>
      </c>
      <c r="L15" s="18">
        <v>30000</v>
      </c>
      <c r="M15" s="13" t="s">
        <v>40</v>
      </c>
      <c r="N15" s="14" t="s">
        <v>45</v>
      </c>
    </row>
    <row r="16" customFormat="1" ht="35" customHeight="1" spans="1:14">
      <c r="A16" s="13">
        <v>14</v>
      </c>
      <c r="B16" s="19" t="str">
        <f>_xlfn.DISPIMG("ID_67690179DE0B42EAAD4DB5DA4B5A0F4F",1)</f>
        <v>=DISPIMG("ID_67690179DE0B42EAAD4DB5DA4B5A0F4F",1)</v>
      </c>
      <c r="C16" s="14" t="s">
        <v>1757</v>
      </c>
      <c r="D16" s="23" t="s">
        <v>1758</v>
      </c>
      <c r="E16" s="14" t="s">
        <v>117</v>
      </c>
      <c r="F16" s="14" t="s">
        <v>1759</v>
      </c>
      <c r="G16" s="13" t="s">
        <v>1760</v>
      </c>
      <c r="H16" s="16">
        <v>89.4</v>
      </c>
      <c r="I16" s="17">
        <v>228</v>
      </c>
      <c r="J16" s="18">
        <v>25000</v>
      </c>
      <c r="K16" s="18">
        <v>35000</v>
      </c>
      <c r="L16" s="18">
        <v>45000</v>
      </c>
      <c r="M16" s="13" t="s">
        <v>1761</v>
      </c>
      <c r="N16" s="14" t="s">
        <v>45</v>
      </c>
    </row>
    <row r="17" s="1" customFormat="1" ht="35" customHeight="1" spans="1:14">
      <c r="A17" s="13">
        <v>15</v>
      </c>
      <c r="B17" s="19" t="str">
        <f>_xlfn.DISPIMG("ID_811F6202021D4B43A8DEB03B8172AF1D",1)</f>
        <v>=DISPIMG("ID_811F6202021D4B43A8DEB03B8172AF1D",1)</v>
      </c>
      <c r="C17" s="23" t="s">
        <v>1762</v>
      </c>
      <c r="D17" s="15" t="s">
        <v>1763</v>
      </c>
      <c r="E17" s="14" t="s">
        <v>1764</v>
      </c>
      <c r="F17" s="14" t="s">
        <v>1765</v>
      </c>
      <c r="G17" s="13" t="s">
        <v>1766</v>
      </c>
      <c r="H17" s="16">
        <v>18.4</v>
      </c>
      <c r="I17" s="17" t="s">
        <v>40</v>
      </c>
      <c r="J17" s="18">
        <v>5000</v>
      </c>
      <c r="K17" s="18">
        <v>5000</v>
      </c>
      <c r="L17" s="18">
        <v>5700</v>
      </c>
      <c r="M17" s="18" t="s">
        <v>40</v>
      </c>
      <c r="N17" s="14" t="s">
        <v>45</v>
      </c>
    </row>
    <row r="18" customFormat="1" ht="35" customHeight="1" spans="1:14">
      <c r="A18" s="13">
        <v>16</v>
      </c>
      <c r="B18" s="19" t="str">
        <f>_xlfn.DISPIMG("ID_996902304CC646A3B6EBBBFF8B73BD30",1)</f>
        <v>=DISPIMG("ID_996902304CC646A3B6EBBBFF8B73BD30",1)</v>
      </c>
      <c r="C18" s="14" t="s">
        <v>1767</v>
      </c>
      <c r="D18" s="15" t="s">
        <v>1768</v>
      </c>
      <c r="E18" s="14" t="s">
        <v>631</v>
      </c>
      <c r="F18" s="14" t="s">
        <v>1769</v>
      </c>
      <c r="G18" s="13" t="s">
        <v>1770</v>
      </c>
      <c r="H18" s="16">
        <v>729</v>
      </c>
      <c r="I18" s="17">
        <v>94.1</v>
      </c>
      <c r="J18" s="18">
        <v>78000</v>
      </c>
      <c r="K18" s="18">
        <v>105000</v>
      </c>
      <c r="L18" s="18">
        <v>110000</v>
      </c>
      <c r="M18" s="13" t="s">
        <v>1771</v>
      </c>
      <c r="N18" s="14" t="s">
        <v>45</v>
      </c>
    </row>
    <row r="19" customFormat="1" ht="35" customHeight="1" spans="1:14">
      <c r="A19" s="13">
        <v>17</v>
      </c>
      <c r="B19" s="19" t="str">
        <f>_xlfn.DISPIMG("ID_9C9A0000A3A344BA99368A2B3BC10434",1)</f>
        <v>=DISPIMG("ID_9C9A0000A3A344BA99368A2B3BC10434",1)</v>
      </c>
      <c r="C19" s="14" t="s">
        <v>1772</v>
      </c>
      <c r="D19" s="15" t="s">
        <v>1773</v>
      </c>
      <c r="E19" s="14" t="s">
        <v>631</v>
      </c>
      <c r="F19" s="14" t="s">
        <v>1774</v>
      </c>
      <c r="G19" s="13" t="s">
        <v>1775</v>
      </c>
      <c r="H19" s="16">
        <v>174.3</v>
      </c>
      <c r="I19" s="17">
        <v>78.7</v>
      </c>
      <c r="J19" s="18">
        <v>28000</v>
      </c>
      <c r="K19" s="18">
        <v>38000</v>
      </c>
      <c r="L19" s="18">
        <v>45000</v>
      </c>
      <c r="M19" s="13" t="s">
        <v>1776</v>
      </c>
      <c r="N19" s="14" t="s">
        <v>1777</v>
      </c>
    </row>
    <row r="20" s="1" customFormat="1" ht="35" customHeight="1" spans="1:14">
      <c r="A20" s="13">
        <v>18</v>
      </c>
      <c r="B20" s="26" t="str">
        <f>_xlfn.DISPIMG("ID_CD46B8401C7948BCBF2D9AF24FC3DD04",1)</f>
        <v>=DISPIMG("ID_CD46B8401C7948BCBF2D9AF24FC3DD04",1)</v>
      </c>
      <c r="C20" s="23" t="s">
        <v>1778</v>
      </c>
      <c r="D20" s="13" t="s">
        <v>1779</v>
      </c>
      <c r="E20" s="13" t="s">
        <v>1780</v>
      </c>
      <c r="F20" s="13" t="s">
        <v>1781</v>
      </c>
      <c r="G20" s="13" t="s">
        <v>1782</v>
      </c>
      <c r="H20" s="16">
        <v>344.5</v>
      </c>
      <c r="I20" s="27">
        <v>90.2</v>
      </c>
      <c r="J20" s="25">
        <v>40000</v>
      </c>
      <c r="K20" s="25">
        <v>40000</v>
      </c>
      <c r="L20" s="25">
        <v>50000</v>
      </c>
      <c r="M20" s="13" t="s">
        <v>1783</v>
      </c>
      <c r="N20" s="13" t="s">
        <v>45</v>
      </c>
    </row>
    <row r="21" s="3" customFormat="1" ht="35" customHeight="1" spans="1:14">
      <c r="A21" s="13">
        <v>19</v>
      </c>
      <c r="B21" s="23" t="str">
        <f>_xlfn.DISPIMG("ID_3E605099F5B3446CB027C7856E46BAA7",1)</f>
        <v>=DISPIMG("ID_3E605099F5B3446CB027C7856E46BAA7",1)</v>
      </c>
      <c r="C21" s="23" t="s">
        <v>1784</v>
      </c>
      <c r="D21" s="13" t="s">
        <v>1785</v>
      </c>
      <c r="E21" s="13" t="s">
        <v>1786</v>
      </c>
      <c r="F21" s="13" t="s">
        <v>1787</v>
      </c>
      <c r="G21" s="13" t="s">
        <v>1788</v>
      </c>
      <c r="H21" s="16">
        <v>52.3</v>
      </c>
      <c r="I21" s="27">
        <v>256</v>
      </c>
      <c r="J21" s="20">
        <v>8000</v>
      </c>
      <c r="K21" s="20">
        <v>10000</v>
      </c>
      <c r="L21" s="20">
        <v>13000</v>
      </c>
      <c r="M21" s="13" t="s">
        <v>1789</v>
      </c>
      <c r="N21" s="13" t="s">
        <v>45</v>
      </c>
    </row>
    <row r="22" customFormat="1" ht="35" customHeight="1" spans="1:14">
      <c r="A22" s="13">
        <v>20</v>
      </c>
      <c r="B22" s="19" t="str">
        <f>_xlfn.DISPIMG("ID_A3F44AC569AB446BA8AB93D7247E5A6B",1)</f>
        <v>=DISPIMG("ID_A3F44AC569AB446BA8AB93D7247E5A6B",1)</v>
      </c>
      <c r="C22" s="14" t="s">
        <v>1790</v>
      </c>
      <c r="D22" s="15">
        <v>8372328</v>
      </c>
      <c r="E22" s="14" t="s">
        <v>631</v>
      </c>
      <c r="F22" s="14" t="s">
        <v>1791</v>
      </c>
      <c r="G22" s="13" t="s">
        <v>1792</v>
      </c>
      <c r="H22" s="16">
        <v>193.1</v>
      </c>
      <c r="I22" s="17" t="s">
        <v>40</v>
      </c>
      <c r="J22" s="18">
        <v>15000</v>
      </c>
      <c r="K22" s="18">
        <v>20000</v>
      </c>
      <c r="L22" s="18">
        <v>28000</v>
      </c>
      <c r="M22" s="13" t="s">
        <v>1793</v>
      </c>
      <c r="N22" s="14" t="s">
        <v>45</v>
      </c>
    </row>
    <row r="23" customFormat="1" ht="35" customHeight="1" spans="1:14">
      <c r="A23" s="13">
        <v>21</v>
      </c>
      <c r="B23" s="19" t="str">
        <f>_xlfn.DISPIMG("ID_3BA253F562B54339B4A9619792A8864F",1)</f>
        <v>=DISPIMG("ID_3BA253F562B54339B4A9619792A8864F",1)</v>
      </c>
      <c r="C23" s="14" t="s">
        <v>1794</v>
      </c>
      <c r="D23" s="23">
        <v>6944639</v>
      </c>
      <c r="E23" s="14" t="s">
        <v>631</v>
      </c>
      <c r="F23" s="14" t="s">
        <v>1795</v>
      </c>
      <c r="G23" s="13" t="s">
        <v>1796</v>
      </c>
      <c r="H23" s="16">
        <v>65.2</v>
      </c>
      <c r="I23" s="17">
        <v>182.4</v>
      </c>
      <c r="J23" s="20">
        <v>13000</v>
      </c>
      <c r="K23" s="20">
        <v>17000</v>
      </c>
      <c r="L23" s="20">
        <v>30000</v>
      </c>
      <c r="M23" s="13" t="s">
        <v>1797</v>
      </c>
      <c r="N23" s="14" t="s">
        <v>573</v>
      </c>
    </row>
    <row r="24" customFormat="1" ht="35" customHeight="1" spans="1:14">
      <c r="A24" s="13">
        <v>22</v>
      </c>
      <c r="B24" s="19" t="str">
        <f>_xlfn.DISPIMG("ID_944A52349608496F82FAF7AF11D27DA3",1)</f>
        <v>=DISPIMG("ID_944A52349608496F82FAF7AF11D27DA3",1)</v>
      </c>
      <c r="C24" s="14" t="s">
        <v>1798</v>
      </c>
      <c r="D24" s="15" t="s">
        <v>1799</v>
      </c>
      <c r="E24" s="14" t="s">
        <v>631</v>
      </c>
      <c r="F24" s="14" t="s">
        <v>1800</v>
      </c>
      <c r="G24" s="13" t="s">
        <v>1801</v>
      </c>
      <c r="H24" s="16">
        <v>270.5</v>
      </c>
      <c r="I24" s="17">
        <v>173.7</v>
      </c>
      <c r="J24" s="18">
        <v>25000</v>
      </c>
      <c r="K24" s="18">
        <v>30000</v>
      </c>
      <c r="L24" s="18">
        <v>40000</v>
      </c>
      <c r="M24" s="13" t="s">
        <v>1802</v>
      </c>
      <c r="N24" s="14" t="s">
        <v>45</v>
      </c>
    </row>
    <row r="25" s="1" customFormat="1" ht="35" customHeight="1" spans="1:14">
      <c r="A25" s="13">
        <v>23</v>
      </c>
      <c r="B25" t="str">
        <f>_xlfn.DISPIMG("ID_1AE4F552246F4E53BD1D89BC89F9A63E",1)</f>
        <v>=DISPIMG("ID_1AE4F552246F4E53BD1D89BC89F9A63E",1)</v>
      </c>
      <c r="C25" s="23" t="s">
        <v>1803</v>
      </c>
      <c r="D25" s="13" t="s">
        <v>1804</v>
      </c>
      <c r="E25" s="13" t="s">
        <v>631</v>
      </c>
      <c r="F25" s="13" t="s">
        <v>1805</v>
      </c>
      <c r="G25" s="13" t="s">
        <v>1806</v>
      </c>
      <c r="H25" s="16">
        <v>111.4</v>
      </c>
      <c r="I25" s="27" t="s">
        <v>40</v>
      </c>
      <c r="J25" s="25">
        <v>15000</v>
      </c>
      <c r="K25" s="25">
        <v>20000</v>
      </c>
      <c r="L25" s="25">
        <v>35000</v>
      </c>
      <c r="M25" s="13" t="s">
        <v>1807</v>
      </c>
      <c r="N25" s="13" t="s">
        <v>45</v>
      </c>
    </row>
    <row r="26" s="1" customFormat="1" ht="35" customHeight="1" spans="1:14">
      <c r="A26" s="13">
        <v>24</v>
      </c>
      <c r="B26" s="22" t="str">
        <f>_xlfn.DISPIMG("ID_9E1E2148C84A47D99C534F3F58224D8C",1)</f>
        <v>=DISPIMG("ID_9E1E2148C84A47D99C534F3F58224D8C",1)</v>
      </c>
      <c r="C26" s="23" t="s">
        <v>1808</v>
      </c>
      <c r="D26" s="13" t="s">
        <v>1809</v>
      </c>
      <c r="E26" s="13" t="s">
        <v>631</v>
      </c>
      <c r="F26" s="13" t="s">
        <v>1810</v>
      </c>
      <c r="G26" s="13" t="s">
        <v>1811</v>
      </c>
      <c r="H26" s="16">
        <v>18.7</v>
      </c>
      <c r="I26" s="27" t="s">
        <v>40</v>
      </c>
      <c r="J26" s="25">
        <v>25000</v>
      </c>
      <c r="K26" s="25">
        <v>35000</v>
      </c>
      <c r="L26" s="25">
        <v>50000</v>
      </c>
      <c r="M26" s="13" t="s">
        <v>40</v>
      </c>
      <c r="N26" s="13" t="s">
        <v>45</v>
      </c>
    </row>
    <row r="27" customFormat="1" ht="35" customHeight="1" spans="1:14">
      <c r="A27" s="13">
        <v>25</v>
      </c>
      <c r="B27" s="19" t="str">
        <f>_xlfn.DISPIMG("ID_D9FB7FDC3CA64F10A2691A5E85966BA3",1)</f>
        <v>=DISPIMG("ID_D9FB7FDC3CA64F10A2691A5E85966BA3",1)</v>
      </c>
      <c r="C27" s="14" t="s">
        <v>1812</v>
      </c>
      <c r="D27" s="15">
        <v>342906081</v>
      </c>
      <c r="E27" s="14" t="s">
        <v>631</v>
      </c>
      <c r="F27" s="14" t="s">
        <v>1813</v>
      </c>
      <c r="G27" s="13" t="s">
        <v>1814</v>
      </c>
      <c r="H27" s="16">
        <v>60.9</v>
      </c>
      <c r="I27" s="17" t="s">
        <v>40</v>
      </c>
      <c r="J27" s="18">
        <v>12000</v>
      </c>
      <c r="K27" s="18">
        <v>12000</v>
      </c>
      <c r="L27" s="18">
        <v>15600</v>
      </c>
      <c r="M27" s="13" t="s">
        <v>1815</v>
      </c>
      <c r="N27" s="14" t="s">
        <v>45</v>
      </c>
    </row>
    <row r="28" customFormat="1" ht="35" customHeight="1" spans="1:14">
      <c r="A28" s="14">
        <v>26</v>
      </c>
      <c r="B28" s="19" t="str">
        <f>_xlfn.DISPIMG("ID_AE0D326C3431465AB31A17963D0A4333",1)</f>
        <v>=DISPIMG("ID_AE0D326C3431465AB31A17963D0A4333",1)</v>
      </c>
      <c r="C28" s="13" t="s">
        <v>1816</v>
      </c>
      <c r="D28" s="15">
        <v>96201603048</v>
      </c>
      <c r="E28" s="14" t="s">
        <v>1817</v>
      </c>
      <c r="F28" s="14" t="s">
        <v>1818</v>
      </c>
      <c r="G28" s="13" t="s">
        <v>1819</v>
      </c>
      <c r="H28" s="13">
        <v>28.2</v>
      </c>
      <c r="I28" s="17" t="s">
        <v>40</v>
      </c>
      <c r="J28" s="20">
        <v>6500</v>
      </c>
      <c r="K28" s="20">
        <v>7500</v>
      </c>
      <c r="L28" s="20">
        <v>8000</v>
      </c>
      <c r="M28" s="13" t="s">
        <v>40</v>
      </c>
      <c r="N28" s="14" t="s">
        <v>45</v>
      </c>
    </row>
    <row r="29" customFormat="1" ht="35" customHeight="1" spans="1:14">
      <c r="A29" s="14">
        <v>27</v>
      </c>
      <c r="B29" s="19" t="str">
        <f>_xlfn.DISPIMG("ID_BC10D53D01AB439C8C91A8495437B0BD",1)</f>
        <v>=DISPIMG("ID_BC10D53D01AB439C8C91A8495437B0BD",1)</v>
      </c>
      <c r="C29" s="13" t="s">
        <v>1820</v>
      </c>
      <c r="D29" s="15" t="s">
        <v>1821</v>
      </c>
      <c r="E29" s="14" t="s">
        <v>1822</v>
      </c>
      <c r="F29" s="14" t="s">
        <v>1823</v>
      </c>
      <c r="G29" s="13" t="s">
        <v>1824</v>
      </c>
      <c r="H29" s="13">
        <v>27.2</v>
      </c>
      <c r="I29" s="17">
        <v>539.9</v>
      </c>
      <c r="J29" s="20">
        <v>12000</v>
      </c>
      <c r="K29" s="20">
        <v>12000</v>
      </c>
      <c r="L29" s="20">
        <v>15000</v>
      </c>
      <c r="M29" s="13" t="s">
        <v>40</v>
      </c>
      <c r="N29" s="14" t="s">
        <v>1825</v>
      </c>
    </row>
    <row r="30" customFormat="1" ht="35" customHeight="1" spans="1:14">
      <c r="A30" s="14">
        <v>28</v>
      </c>
      <c r="B30" s="26" t="str">
        <f>_xlfn.DISPIMG("ID_E3BD1E96CA0D4B378BED86B334AF6563",1)</f>
        <v>=DISPIMG("ID_E3BD1E96CA0D4B378BED86B334AF6563",1)</v>
      </c>
      <c r="C30" s="13" t="s">
        <v>1826</v>
      </c>
      <c r="D30" s="15" t="s">
        <v>1827</v>
      </c>
      <c r="E30" s="14" t="s">
        <v>1623</v>
      </c>
      <c r="F30" s="14" t="s">
        <v>1828</v>
      </c>
      <c r="G30" s="13" t="s">
        <v>1829</v>
      </c>
      <c r="H30" s="13">
        <v>11.2</v>
      </c>
      <c r="I30" s="17" t="s">
        <v>40</v>
      </c>
      <c r="J30" s="20">
        <v>2000</v>
      </c>
      <c r="K30" s="20">
        <v>3000</v>
      </c>
      <c r="L30" s="20">
        <v>5000</v>
      </c>
      <c r="M30" s="13" t="s">
        <v>40</v>
      </c>
      <c r="N30" s="14" t="s">
        <v>45</v>
      </c>
    </row>
    <row r="31" customFormat="1" ht="35" customHeight="1" spans="1:14">
      <c r="A31" s="28">
        <v>29</v>
      </c>
      <c r="B31" s="29" t="str">
        <f>_xlfn.DISPIMG("ID_5ABB8D3EA41A460A974A5D234EE2C2F8",1)</f>
        <v>=DISPIMG("ID_5ABB8D3EA41A460A974A5D234EE2C2F8",1)</v>
      </c>
      <c r="C31" s="29" t="s">
        <v>1830</v>
      </c>
      <c r="D31" s="30">
        <v>1537298468</v>
      </c>
      <c r="E31" s="28" t="s">
        <v>1831</v>
      </c>
      <c r="F31" s="28" t="s">
        <v>1832</v>
      </c>
      <c r="G31" s="29" t="s">
        <v>1833</v>
      </c>
      <c r="H31" s="29">
        <v>30.2</v>
      </c>
      <c r="I31" s="31" t="s">
        <v>40</v>
      </c>
      <c r="J31" s="32">
        <v>8000</v>
      </c>
      <c r="K31" s="32">
        <v>10000</v>
      </c>
      <c r="L31" s="32">
        <v>12000</v>
      </c>
      <c r="M31" s="29" t="s">
        <v>40</v>
      </c>
      <c r="N31" s="28" t="s">
        <v>45</v>
      </c>
    </row>
  </sheetData>
  <autoFilter xmlns:etc="http://www.wps.cn/officeDocument/2017/etCustomData" ref="A2:XEV31" etc:filterBottomFollowUsedRange="0">
    <extLst/>
  </autoFilter>
  <mergeCells count="1">
    <mergeCell ref="A1:N1"/>
  </mergeCells>
  <hyperlinks>
    <hyperlink ref="F12" r:id="rId2" display="https://v.douyin.com/88tpRCb/"/>
    <hyperlink ref="F18" r:id="rId3" display="https://v.douyin.com/eaRJPHe/"/>
    <hyperlink ref="F24" r:id="rId4" display="https://v.douyin.com/e18x2s1/"/>
    <hyperlink ref="F7" r:id="rId5" display="https://v.douyin.com/e1dopKv/"/>
    <hyperlink ref="F10" r:id="rId6" display="https://v.douyin.com/e1dnU3C/"/>
    <hyperlink ref="F8" r:id="rId7" display="https://v.douyin.com/2W7nbwM/"/>
    <hyperlink ref="F4" r:id="rId8" display="https://v.douyin.com/rfgepnY/"/>
    <hyperlink ref="F22" r:id="rId9" display="https://v.douyin.com/A4Wbyjf/"/>
    <hyperlink ref="F6" r:id="rId10" display="https://v.douyin.com/yNkevye/"/>
    <hyperlink ref="F11" r:id="rId11" display="https://v.douyin.com/yFCq9y3/"/>
    <hyperlink ref="F23" r:id="rId12" display="https://v.douyin.com/DDtQneX/"/>
    <hyperlink ref="F27" r:id="rId13" display="https://v.douyin.com/eNCkcEU/"/>
    <hyperlink ref="F16" r:id="rId14" display="https://v.douyin.com/i8aCMmDk/"/>
    <hyperlink ref="F13" r:id="rId15" display="https://v.douyin.com/nthyDT/"/>
    <hyperlink ref="F9" r:id="rId16" display="https://v.douyin.com/i2nY4afF/"/>
    <hyperlink ref="F29" r:id="rId17" display="https://v.douyin.com/FswYnjx/"/>
    <hyperlink ref="F31" r:id="rId18" display="https://v.douyin.com/iJW1TXLv/"/>
    <hyperlink ref="F30" r:id="rId19" display="https://v.douyin.com/idjuYaHy/"/>
    <hyperlink ref="F28" r:id="rId20" display="https://v.douyin.com/i8cKAwaa/ 8@0.com"/>
    <hyperlink ref="F17" r:id="rId21" display="https://v.douyin.com/vP3VmxRgiLI/"/>
    <hyperlink ref="F15" r:id="rId22" display="https://v.douyin.com/M3spsCWS4Tc/"/>
    <hyperlink ref="F25" r:id="rId23" display="https://v.douyin.com/hqXeQ5d/"/>
    <hyperlink ref="F21" r:id="rId24" display="https://v.douyin.com/iY85wBRt/"/>
    <hyperlink ref="F26" r:id="rId25" display="https://v.douyin.com/C2FPaiMOprM/" tooltip="https://v.douyin.com/C2FPaiMOprM/"/>
    <hyperlink ref="F20" r:id="rId26" display="https://v.douyin.com/JSacLxr/"/>
    <hyperlink ref="G4" r:id="rId27" display="https://www.xingtu.cn/ad/creator/author-homepage/douyin-video/7128380987993489438?market_track_id=3XWNK7LWA21OEENNFR80&amp;search_session_id=7550214870017998891&amp;possessStarId"/>
    <hyperlink ref="G6" r:id="rId28" display="https://www.xingtu.cn/ad/creator/author-homepage/douyin-video/6596679498022780936?market_track_id=OT328YAVVPOJZEPAV52J&amp;search_session_id=7550215036942712851&amp;possessStarId"/>
    <hyperlink ref="G7" r:id="rId29" display="https://www.xingtu.cn/ad/creator/author-homepage/douyin-video/6801043323701166093?market_track_id=WRWTEVNZUU1314FZAKXZ&amp;search_session_id=7550215047575666724&amp;possessStarId"/>
    <hyperlink ref="G8" r:id="rId30" display="https://www.xingtu.cn/ad/creator/author-homepage/douyin-video/7118636721230577700?market_track_id=3VV5ZBKXKBMKIPIX3IZH&amp;search_session_id=7550215159429333031&amp;possessStarId"/>
    <hyperlink ref="G9" r:id="rId31" display="https://www.xingtu.cn/ad/creator/author-homepage/douyin-video/7300476344071110693?market_track_id=715DEKOOY6EFZPKN3OS6&amp;search_session_id=7550216179446022183&amp;possessStarId"/>
    <hyperlink ref="G10" r:id="rId32" display="https://www.xingtu.cn/ad/creator/author-homepage/douyin-video/6810311904263667719?market_track_id=26ZQGJM6ARET41LHTQMT&amp;search_session_id=7550216389245009961&amp;possessStarId"/>
    <hyperlink ref="G11" r:id="rId33" display="https://www.xingtu.cn/ad/creator/author-homepage/douyin-video/7055186462358110239?market_track_id=0S6MHXHBLH5VC2WLNDJ2&amp;search_session_id=7550217075030540327&amp;possessStarId"/>
    <hyperlink ref="G12" r:id="rId34" display="https://www.xingtu.cn/ad/creator/author-homepage/douyin-video/6871549993585475587?market_track_id=RH48477MKB1VR1UNYGCS&amp;search_session_id=7550217075030884391&amp;possessStarId"/>
    <hyperlink ref="G13" r:id="rId35" display="https://www.xingtu.cn/ad/creator/author-homepage/douyin-video/6760484915038388231?market_track_id=D2I814U0YF0H0S78V4NX&amp;search_session_id=7550217255607664679&amp;possessStarId"/>
    <hyperlink ref="G15" r:id="rId36" display="https://www.xingtu.cn/ad/creator/author-homepage/douyin-video/6615821710526513155?market_track_id=J9CDG8ZG8UK9OYQGJ5M5&amp;search_session_id=7550217578959552566&amp;possessStarId"/>
    <hyperlink ref="G16" r:id="rId37" display="https://www.xingtu.cn/ad/creator/author-homepage/douyin-video/6870161239037706253?market_track_id=KGDOIV1C637VKVSO8BCI&amp;search_session_id=7550218122440671274&amp;possessStarId"/>
    <hyperlink ref="G17" r:id="rId38" display="https://www.xingtu.cn/ad/creator/author-homepage/douyin-video/6939042595356016652?market_track_id=RLBNH1FQESPB8C52YN6Q&amp;search_session_id=7550218385226334251&amp;possessStarId"/>
    <hyperlink ref="G18" r:id="rId39" display="https://www.xingtu.cn/ad/creator/author-homepage/douyin-video/6640252091245789188?market_track_id=JNL5RRSOVC13VRKRVW2N&amp;search_session_id=7550218554697433107&amp;possessStarId"/>
    <hyperlink ref="G20" r:id="rId40" display="https://www.xingtu.cn/ad/creator/author-homepage/douyin-video/6629723424748994564?market_track_id=YXGB38SFJ1L77C44WCD0&amp;search_session_id=7550218778458472511&amp;possessStarId"/>
    <hyperlink ref="G21" r:id="rId41" display="https://www.xingtu.cn/ad/creator/author-homepage/douyin-video/7237162630903758881?market_track_id=K0JCD31RB8NPRC5GRY4H&amp;search_session_id=7550218956808880170&amp;possessStarId"/>
    <hyperlink ref="G22" r:id="rId42" display="https://www.xingtu.cn/ad/creator/author-homepage/douyin-video/6596679478083059716?market_track_id=YRGBT4HZY5V5CK4RMLOT&amp;search_session_id=7550219100434202643&amp;possessStarId"/>
    <hyperlink ref="G23" r:id="rId43" display="https://www.xingtu.cn/ad/creator/author-homepage/douyin-video/6629661007348236302?market_track_id=FFE8SV4SP2U10W5XYRKU&amp;search_session_id=7550219239991345195&amp;possessStarId"/>
    <hyperlink ref="G24" r:id="rId44" display="https://www.xingtu.cn/ad/creator/author-homepage/douyin-video/6677157331165249539?market_track_id=TC09IWAFYQRVSS5KRSSL&amp;search_session_id=7550219394329231403&amp;possessStarId"/>
    <hyperlink ref="G25" r:id="rId45" display="https://www.xingtu.cn/ad/creator/author-homepage/douyin-video/6742066222692565006?market_track_id=FZADQ8CXP9WR64C04VUF&amp;search_session_id=7550219814963724307&amp;possessStarId"/>
    <hyperlink ref="G26" r:id="rId46" display="https://www.xingtu.cn/ad/creator/author-homepage/douyin-video/7001886618818707491?market_track_id=PA8P24MD9ZNXK2NVY5FY&amp;search_session_id=7550219864423481387&amp;possessStarId"/>
    <hyperlink ref="G27" r:id="rId47" display="https://www.xingtu.cn/ad/creator/author-homepage/douyin-video/6870164604043919367?market_track_id=KCUK9D94UPOOJ5HYMO6W&amp;search_session_id=7550219973672501291&amp;possessStarId"/>
    <hyperlink ref="G28" r:id="rId48" display="https://www.xingtu.cn/ad/creator/author-homepage/douyin-video/7281638336735739943?market_track_id=8GK099J7N7JPB8RYHF8U&amp;search_session_id=7550220054031089703&amp;possessStarId"/>
    <hyperlink ref="G29" r:id="rId49" display="https://www.xingtu.cn/ad/creator/author-homepage/douyin-video/7062567598881243151?market_track_id=JH9AXT9UZ5CVRQUTBKEH&amp;search_session_id=7550220484609982506&amp;possessStarId"/>
    <hyperlink ref="G30" r:id="rId50" display="https://www.xingtu.cn/ad/creator/author-homepage/douyin-video/7283823086028193803?market_track_id=2LT707YXXASNCHJM9C3E&amp;search_session_id=7550220625697620010&amp;possessStarId"/>
    <hyperlink ref="G31" r:id="rId51" display="https://www.xingtu.cn/ad/creator/author-homepage/douyin-video/7270472015461482554?market_track_id=YRQZCKGS6C6XRPVJ5T7Y&amp;search_session_id=7550220784732897316&amp;possessStarId"/>
    <hyperlink ref="F19" r:id="rId52" display="https://v.douyin.com/BbNG319/"/>
    <hyperlink ref="G19" r:id="rId53" display="https://www.xingtu.cn/ad/creator/author-homepage/douyin-video/6894600608431472640?market_track_id=TVMBBD6DFZ3H97QQ0N06&amp;search_session_id=7506430716956180521&amp;video_type=2&amp;_route_from=from_page%3DMarket%26search_session_id%3D7506430716956180521%26is_for_order%3D1%26market_track_id%3DTVMBBD6DFZ3H97QQ0N06%26platform_source%3D1%26key%3D%25E4%25B8%2580%25E4%25B8%25AA%25E7%25BE%258E%25E5%25B0%2591%25E9%25B9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F5" r:id="rId54" display="https://v.douyin.com/UYCTfS6/"/>
    <hyperlink ref="G5" r:id="rId55" display="https://www.xingtu.cn/ad/creator/author-homepage/douyin-video/6639507729494835203?market_track_id=S08FD099W7OEDKAWYKAC&amp;search_session_id=7506416438765666323&amp;video_type=2&amp;_route_from=from_page%3DMarket%26search_session_id%3D7506416438765666323%26is_for_order%3D1%26market_track_id%3DS08FD099W7OEDKAWYKAC%26platform_source%3D1%26key%3D%25E9%259F%25A6%25E5%25BA%25B7vico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F3" r:id="rId56" display="https://v.douyin.com/NYLLwJm/"/>
    <hyperlink ref="G3" r:id="rId57" display="https://www.xingtu.cn/ad/creator/author-homepage/douyin-video/6870162821561204743?market_track_id=KL6TLOM9QJ0UCP1XH4IE&amp;search_session_id=7506430103665426443&amp;video_type=2&amp;_route_from=from_page%3DMarket%26search_session_id%3D7506430103665426443%26is_for_order%3D1%26market_track_id%3DKL6TLOM9QJ0UCP1XH4IE%26platform_source%3D1%26key%3D%25E4%25B8%2580%25E8%2588%25A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F14" r:id="rId58" display="https://v.douyin.com/SfXQxQL349E/ 7@4.com"/>
    <hyperlink ref="G14" r:id="rId59" display="https://www.xingtu.cn/ad/creator/author-homepage/douyin-video/6675972478684102659?market_track_id=8VVIMQRXFNYSWMG59N6B&amp;search_session_id=7516811288732237887&amp;possessStarId"/>
  </hyperlink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首页</vt:lpstr>
      <vt:lpstr>抖音自孵达人</vt:lpstr>
      <vt:lpstr>抖音外签达人</vt:lpstr>
      <vt:lpstr>小红书</vt:lpstr>
      <vt:lpstr>视频号</vt:lpstr>
      <vt:lpstr>快手</vt:lpstr>
      <vt:lpstr>B站</vt:lpstr>
      <vt:lpstr>懂车帝</vt:lpstr>
      <vt:lpstr>抖音独家达人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盖杯子</cp:lastModifiedBy>
  <dcterms:created xsi:type="dcterms:W3CDTF">2023-05-13T03:15:00Z</dcterms:created>
  <dcterms:modified xsi:type="dcterms:W3CDTF">2026-02-06T08:18:41Z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5970CBA515E447089BCCC75487402BD6_13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