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0.webp" ContentType="image/webp"/>
  <Override PartName="/xl/media/image102.webp" ContentType="image/webp"/>
  <Override PartName="/xl/media/image103.webp" ContentType="image/webp"/>
  <Override PartName="/xl/media/image104.webp" ContentType="image/webp"/>
  <Override PartName="/xl/media/image105.webp" ContentType="image/webp"/>
  <Override PartName="/xl/media/image178.webp" ContentType="image/webp"/>
  <Override PartName="/xl/media/image187.webp" ContentType="image/webp"/>
  <Override PartName="/xl/media/image189.webp" ContentType="image/webp"/>
  <Override PartName="/xl/media/image193.webp" ContentType="image/webp"/>
  <Override PartName="/xl/media/image195.webp" ContentType="image/webp"/>
  <Override PartName="/xl/media/image214.webp" ContentType="image/webp"/>
  <Override PartName="/xl/media/image215.webp" ContentType="image/webp"/>
  <Override PartName="/xl/media/image218.webp" ContentType="image/webp"/>
  <Override PartName="/xl/media/image222.webp" ContentType="image/webp"/>
  <Override PartName="/xl/media/image223.webp" ContentType="image/webp"/>
  <Override PartName="/xl/media/image224.webp" ContentType="image/webp"/>
  <Override PartName="/xl/media/image247.webp" ContentType="image/webp"/>
  <Override PartName="/xl/media/image265.webp" ContentType="image/webp"/>
  <Override PartName="/xl/media/image266.webp" ContentType="image/webp"/>
  <Override PartName="/xl/media/image267.webp" ContentType="image/webp"/>
  <Override PartName="/xl/media/image268.webp" ContentType="image/webp"/>
  <Override PartName="/xl/media/image79.webp" ContentType="image/webp"/>
  <Override PartName="/xl/media/image80.webp" ContentType="image/webp"/>
  <Override PartName="/xl/media/image81.webp" ContentType="image/webp"/>
  <Override PartName="/xl/media/image82.webp" ContentType="image/webp"/>
  <Override PartName="/xl/media/image83.webp" ContentType="image/webp"/>
  <Override PartName="/xl/media/image84.webp" ContentType="image/webp"/>
  <Override PartName="/xl/media/image85.webp" ContentType="image/webp"/>
  <Override PartName="/xl/media/image86.webp" ContentType="image/webp"/>
  <Override PartName="/xl/media/image87.webp" ContentType="image/webp"/>
  <Override PartName="/xl/media/image88.webp" ContentType="image/webp"/>
  <Override PartName="/xl/media/image89.webp" ContentType="image/webp"/>
  <Override PartName="/xl/media/image90.webp" ContentType="image/webp"/>
  <Override PartName="/xl/media/image91.webp" ContentType="image/webp"/>
  <Override PartName="/xl/media/image92.webp" ContentType="image/webp"/>
  <Override PartName="/xl/media/image93.webp" ContentType="image/webp"/>
  <Override PartName="/xl/media/image94.webp" ContentType="image/webp"/>
  <Override PartName="/xl/media/image95.webp" ContentType="image/webp"/>
  <Override PartName="/xl/media/image96.webp" ContentType="image/webp"/>
  <Override PartName="/xl/media/image97.webp" ContentType="image/webp"/>
  <Override PartName="/xl/media/image98.webp" ContentType="image/webp"/>
  <Override PartName="/xl/media/image9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视频号" sheetId="8" r:id="rId5"/>
    <sheet name="快手" sheetId="4" r:id="rId6"/>
    <sheet name="B站" sheetId="6" r:id="rId7"/>
    <sheet name="懂车帝" sheetId="11" r:id="rId8"/>
    <sheet name="抖音独家达人 " sheetId="12" r:id="rId9"/>
  </sheets>
  <definedNames>
    <definedName name="_xlnm._FilterDatabase" localSheetId="1" hidden="1">抖音自孵达人!$A$2:$AC$122</definedName>
    <definedName name="_xlnm._FilterDatabase" localSheetId="2" hidden="1">抖音外签达人!$A$2:$O$32</definedName>
    <definedName name="_xlnm._FilterDatabase" localSheetId="3" hidden="1">小红书!$A$2:$O$58</definedName>
    <definedName name="_xlnm._FilterDatabase" localSheetId="4" hidden="1">视频号!$A$2:$I$24</definedName>
    <definedName name="_xlnm._FilterDatabase" localSheetId="5" hidden="1">快手!$A$2:$N$29</definedName>
    <definedName name="_xlnm._FilterDatabase" localSheetId="6" hidden="1">B站!$A$2:$M$12</definedName>
    <definedName name="_xlnm._FilterDatabase" localSheetId="7" hidden="1">懂车帝!$A$2:$H$7</definedName>
    <definedName name="_xlnm._FilterDatabase" localSheetId="8" hidden="1">'抖音独家达人 '!$A$2:$XEV$31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49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50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151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52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54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55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156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157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158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159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160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161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162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163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164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165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54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166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167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168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169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170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171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172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173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174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175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176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177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178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179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180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181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183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184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185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186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187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188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189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191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192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195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197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202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9E1E2148C84A47D99C534F3F58224D8C" descr="灏忓ぉ鎵嶐煪勨湪澶村儚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352425" y="1682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EC1AAC235172433B86CDEDC2691E72E2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1371600" y="1644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FDC8BBE22A3C48C7BED29A4072716614" descr="歪老板在干嘛？头像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353695" y="445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EFDCC538D76946D78B7EB98783933944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352425" y="4381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C600F1E9B9CF4B69911956C74DD8409F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352425" y="482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CD0F50CCCD824C92AFDEBB40BF3807E8" descr="李里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934720" y="432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0" name="ID_9D4BCA200A3A4EB8A0D73854126E75BE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1162050" y="831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1" name="ID_612738D3F3D7428DA6E4E321C90CFF9C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934720" y="58483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2" name="ID_CACEF98067B14CC18678F828EB22CA1B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934720" y="65151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4" name="ID_1972622F78944F3B80240176D8C71F27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352425" y="5270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3090E4CF6604B89B983FCA4F74AF984" descr="朴素之道头像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1163320" y="1143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4" name="ID_7C3D7E093E3A4B48A95896E13A102E73" descr="懂车老外（非遗学艺版）头像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934720" y="156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C323F5BB57A04391AC291A22669EE708" descr="爱旅行的奶爸塔姆头像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934720" y="1625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32FCB513C4484BA09259FA7A453BEE58" descr="安吉AnJ头像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934720" y="260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3" name="ID_A901C43D8D0844FA863B63A9A0F6D4AF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1162050" y="444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2FDA320076F14743B85625DCA4F9F685" descr="厂长到处跑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934720" y="1689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91F2DC5D52E6496E824FA789F20CE7C3" descr="钂嬩竴浜筐煔桟AG澶村儚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934720" y="1879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1E53894226F0447CA4D62FA5B8BA1118" descr="娜扎分渣头像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934720" y="451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35BFC68506EF43D0A564EDF289FF4152" descr="大圣爱跑步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5767A78C5061489A86E64A0AA201684F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1162050" y="9842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B035946A26694947AAF49A23361CF678" descr="活火山头像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55B6BCB2A7AF4C7DB743E98788BAC790" descr="朱朱朱头像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FB5A556B30DF49E09FF76CBE0B110A5E" descr="彦琳Lin头像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1" name="ID_1B204D0DF25F4BA7A08167829A9F3C07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1162050" y="24193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9CCC04877E4E49F7946F3119072DDBCD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1266825" y="10922000"/>
          <a:ext cx="2476500" cy="2476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620D9C3282B04B5FA66BA776BA516595" descr="杰之爱ing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934720" y="514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3E180515AB144A13AC6A0CFDD9779ECC" descr="吕飞头像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9EBBD8CC8EE44FD4B15903551B9EDA63" descr="极速双子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934720" y="1943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659725E2044440AC98B018E5EF985A4F" descr="壶提提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934720" y="14668500"/>
          <a:ext cx="2600325" cy="260032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8565464ED9FB4C05BB0779C94622A42F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1162050" y="952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7" name="ID_5E4F5F81837741C6A1580970EA59ABBC" descr="给我一个镜头V头像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934720" y="219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0" name="ID_17D25C6E6AFC4B4DA27059925412E18A" descr="楣块噷鐪熻寳馃澶村儚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934720" y="3338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9" name="ID_BF95F8059F5643C4B210BE2FB3FC7D2A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1162050" y="15113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85C4102039844E04A2AC7A5F27147A90" descr="一航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352425" y="127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5ABB8D3EA41A460A974A5D234EE2C2F8" descr="葡头像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352425" y="1371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2" name="ID_D14B63E281A8495D87B7770FA7472B19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1162050" y="463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5" name="ID_F8CCD902B84F41B2811EBD1982EFEAAB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1162050" y="12573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B7B6362E77F24216A24BC824D61B0BF4" descr="妖孽夫人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934720" y="1687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ED073BEACC4B4289BE7B1955B90F4F9B" descr="春妮头像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9347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9F4621F6D66A46568A4D563A930517A3" descr="彩虹和格格头像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934720" y="6482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1459E60758F34FD9B5251A2D0C815B01"/>
        <xdr:cNvPicPr>
          <a:picLocks noChangeAspect="1"/>
        </xdr:cNvPicPr>
      </xdr:nvPicPr>
      <xdr:blipFill>
        <a:blip r:embed="rId254"/>
        <a:stretch>
          <a:fillRect/>
        </a:stretch>
      </xdr:blipFill>
      <xdr:spPr>
        <a:xfrm>
          <a:off x="1285240" y="8890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8" name="ID_BBF7812EE29A4163B6F87775E18655EE" descr="奶爸Kyle懂科技头像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934720" y="2418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45F61FDE1DC54456816649288456C1A5" descr="一醒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934720" y="41643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0" name="ID_EEBF5E77A1DE4AEEB8510110E4CA81D1" descr="黄星桥头像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934720" y="600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AF6E410C2CC14F758A8CC5E1322C25C2" descr="花千小骨⁸²¹🕌头像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934720" y="686308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2" name="ID_69FA15123685461A98513627B93603DD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1162050" y="1847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31EE830DB95240B9A6FA569061AA5D02" descr="宸濆墽路鍚磋弫鑿佲伒虏鈦封伔馃憫澶村儚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352425" y="927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290551792D6B463EB97EC0537A2219FA" descr="小泽（旅食版）头像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352425" y="1238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16C32DF3D3AF437CA4B16D344B38424E" descr="周星辰_头像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1163320" y="787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547B2A4A05864D7084B83E65BBA0ED2D" descr="不知名周导头像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1163320" y="8382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B2D7A3FA97F940859CC6E02CDE6FFD84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1163320" y="990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6" name="ID_70FBF44445904444A1E6F429015D15EF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1163320" y="990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7" name="ID_B4B4BB3D704B46D384FA3FA819376249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1163320" y="990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9" name="ID_58957AB2E59D4BABBF286AE84F688EE2"/>
        <xdr:cNvPicPr>
          <a:picLocks noChangeAspect="1"/>
        </xdr:cNvPicPr>
      </xdr:nvPicPr>
      <xdr:blipFill>
        <a:blip r:embed="rId267" r:link="rId2"/>
        <a:stretch>
          <a:fillRect/>
        </a:stretch>
      </xdr:blipFill>
      <xdr:spPr>
        <a:xfrm>
          <a:off x="1163320" y="10414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1" name="ID_95C2B91300C34FAA9155759C7E1FCF38" descr="维加斯头像"/>
        <xdr:cNvPicPr>
          <a:picLocks noChangeAspect="1"/>
        </xdr:cNvPicPr>
      </xdr:nvPicPr>
      <xdr:blipFill>
        <a:blip r:embed="rId268" r:link="rId2"/>
        <a:stretch>
          <a:fillRect/>
        </a:stretch>
      </xdr:blipFill>
      <xdr:spPr>
        <a:xfrm>
          <a:off x="934720" y="17513300"/>
          <a:ext cx="2857500" cy="28575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<sst xmlns="http://schemas.openxmlformats.org/spreadsheetml/2006/main" count="2816" uniqueCount="1861">
  <si>
    <t>成都OST传媒——2026年3月刊例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</si>
  <si>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</si>
  <si>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</si>
  <si>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</si>
  <si>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</si>
  <si>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</si>
  <si>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</si>
  <si>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</si>
  <si>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</si>
  <si>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</si>
  <si>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</si>
  <si>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</si>
  <si>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</si>
  <si>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</si>
  <si>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</si>
  <si>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</si>
  <si>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</si>
  <si>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</si>
  <si>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</si>
  <si>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</si>
  <si>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</si>
  <si>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</si>
  <si>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</si>
  <si>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</si>
  <si>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</si>
  <si>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</si>
  <si>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</si>
  <si>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</si>
  <si>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</si>
  <si>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</si>
  <si>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</si>
  <si>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</si>
  <si>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</si>
  <si>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</si>
  <si>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</si>
  <si>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</si>
  <si>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</si>
  <si>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</si>
  <si>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</si>
  <si>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</si>
  <si>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/</t>
  </si>
  <si>
    <t>男：61%
女：39%</t>
  </si>
  <si>
    <t>18-23：21.6%
24-30：28.3%
31-40：34.4%</t>
  </si>
  <si>
    <t>Z世代：21.8%
新锐白领：12.5%
小镇青年：27.4%
精致妈妈：3.9%
资深中产：2.9%
都市蓝领：20.9%
小镇中老年：5.9%
都市银发：4.6%</t>
  </si>
  <si>
    <t>五菱，IQOO，方太、梦幻西游、小米、伊利、三国杀、OPPO、铜师傅、荣耀、智己、第五人格、华帝</t>
  </si>
  <si>
    <t>成都</t>
  </si>
  <si>
    <t>朱铁雄片场日志</t>
  </si>
  <si>
    <t>揭秘国风变装天花板的幕后。聚焦百万级特效制作、非遗技艺融合等创作细节，展现团队极致匠心。依托主账号粉丝影响力，粉丝粘性强，适配国货、文创、文旅等品类，深度传递品牌价值。</t>
  </si>
  <si>
    <t>剧情、日常</t>
  </si>
  <si>
    <t>https://v.douyin.com/P9i7l467NEs/</t>
  </si>
  <si>
    <t>https://www.xingtu.cn/ad/creator/author-homepage/douyin-video/7568817054545412146?market_track_id=98IZH98452SRN4JC5R92&amp;search_session_id=7569069326943715391&amp;possessStarId</t>
  </si>
  <si>
    <t>7568817054545412146</t>
  </si>
  <si>
    <t>男：55%
女：45%</t>
  </si>
  <si>
    <t>18-23：20%
24-30：30%
31-40：35%</t>
  </si>
  <si>
    <t>Z世代：21%
新锐白领：16.5%
小镇青年：23%
精致妈妈：6.5%
资深中产：4%
都市蓝领：19%
小镇中老年：4.5%
都市银发：3%</t>
  </si>
  <si>
    <t>【创意广告】</t>
  </si>
  <si>
    <t>TVC
创意</t>
  </si>
  <si>
    <t>壶提提</t>
  </si>
  <si>
    <t>传统文化领域头部达人，凭“爆米花变装”引爆25亿+话题播放。深耕复古港风与新中式美学，镜头兼具氛围感与文化质感，获刘德华关注、文化部“非遗星推官”认证。粉丝以31-40岁群体为主，消费潜力强，适配美妆、服饰、文旅、非遗等多元品牌合作。</t>
  </si>
  <si>
    <t>htt_55555</t>
  </si>
  <si>
    <t>创意TVC、传统文化</t>
  </si>
  <si>
    <t>https://v.douyin.com/9sgmrPxyfp8/</t>
  </si>
  <si>
    <t>https://www.xingtu.cn/ad/creator/author-homepage/douyin-video/6845057970179407879?market_track_id=E4Y19KVH1MWTEGLI5F2L&amp;search_session_id=7586573267851608070&amp;possessStarId</t>
  </si>
  <si>
    <t>6845057970179407879</t>
  </si>
  <si>
    <t>视频号 快手</t>
  </si>
  <si>
    <t>男：47.1%
女：52.9%</t>
  </si>
  <si>
    <t>18-23：33.2%
24-30：31.8%
31-40：23.3%</t>
  </si>
  <si>
    <t>Z世代：24%
新锐白领：15.9%
小镇青年：25.2%
精致妈妈：7%
资深中产：3%
都市蓝领：17.3%
小镇中老年：4.5%
都市银发：3.1%</t>
  </si>
  <si>
    <t>小鹏、科颜氏、金典、伊利、雪碧、舒肤佳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</si>
  <si>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</si>
  <si>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</si>
  <si>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</si>
  <si>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</si>
  <si>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</si>
  <si>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</si>
  <si>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</si>
  <si>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男：67.1%
女：32.9%</t>
  </si>
  <si>
    <t>18-23：23.3%
31-40：30.8%
41-50：28.1%</t>
  </si>
  <si>
    <t>Z世代：14.9%
新锐白领：32.8%
小镇青年：16.7%
精致妈妈：6%
资深中产：4.8%
都市蓝领：12.2%
小镇中老年：6.3%
都市银发：6.2%</t>
  </si>
  <si>
    <t>零跑、阿维塔、红旗、岚图、华为</t>
  </si>
  <si>
    <t>阿财没饭吃</t>
  </si>
  <si>
    <t>深耕创意美食TVC赛道，镜头细腻有层次，烟火气锅气镜头拉满，反手持铲特写+做菜全流程运镜极具辨识度。主打低预算创意家常菜，把百元硬菜、快手菜拍出质感大片，粉丝粘性高，集均互动亮眼，适配各类品牌创意合作。</t>
  </si>
  <si>
    <t>CDBykx218078</t>
  </si>
  <si>
    <t>创意TVC、美食</t>
  </si>
  <si>
    <t>https://v.douyin.com/ijRaTmKu/</t>
  </si>
  <si>
    <t>https://www.xingtu.cn/ad/creator/author-homepage/douyin-video/7164610130468667422?market_track_id=UDUYNLMS4L8IX6O5Q35O&amp;search_session_id=7587244361512747027&amp;possessStarId</t>
  </si>
  <si>
    <t>7164610130468667422</t>
  </si>
  <si>
    <t>男：3%
女：97%</t>
  </si>
  <si>
    <t>18-23：48.4%
24-30：28%
31-40：21%</t>
  </si>
  <si>
    <t>Z世代：35.5%
新锐白领：12.1%
小镇青年：32.1%
精致妈妈：9.2%
资深中产：1.2%
都市蓝领：9.2%
小镇中老年：0.6%
都市银发：0.2%</t>
  </si>
  <si>
    <t>云鲸、自由点、美的、诚实一口、伊利、科沃斯、古茗、松下、九阳、六神、舒肤佳、美团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</si>
  <si>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</si>
  <si>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</si>
  <si>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</si>
  <si>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</si>
  <si>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</si>
  <si>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</si>
  <si>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</si>
  <si>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</si>
  <si>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男：65.3%
女：34.7%</t>
  </si>
  <si>
    <t>18-23：60.3%
24-30：23.7%
31-40：8.6%</t>
  </si>
  <si>
    <t>Z世代：49.3%
新锐白领：13.9%
小镇青年：21.7%
精致妈妈：1.1%
资深中产：1.1%
都市蓝领：10.8%
小镇中老年：1.1%
都市银发：1%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</si>
  <si>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</si>
  <si>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</si>
  <si>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</si>
  <si>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</si>
  <si>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</si>
  <si>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</si>
  <si>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</si>
  <si>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</si>
  <si>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：16.1%
女 ：83.9%</t>
  </si>
  <si>
    <t>18-23：9.5%
24-30：31.2%
31-40：52.1%</t>
  </si>
  <si>
    <t>Z世代：5.9%
新锐白领：21.4%
小镇青年：23.4%
精致妈妈：24.8%
资深中产：8%
都市蓝领：12%
小镇中老年：3.3%
都市银发：1.1%</t>
  </si>
  <si>
    <t>京东超市、广汽埃安、劲仔、红米、BABI、蒙牛、露得清、北京现代、懂车帝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</si>
  <si>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</si>
  <si>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</si>
  <si>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</si>
  <si>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</si>
  <si>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</si>
  <si>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</si>
  <si>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</si>
  <si>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男：82.8%
女：17.2%</t>
  </si>
  <si>
    <t>18-23：40.5%
24-30：31.1%
31-40：20.1%</t>
  </si>
  <si>
    <t>Z世代：30.4%
新锐白领：19.7%
小镇青年：23.3%
精致妈妈：1.3%
资深中产：2.1%
都市蓝领：18.9%
小镇中老年：2.2%
都市银发：1.9%</t>
  </si>
  <si>
    <t>茶π、劲酒、优酸乳、美团、阿维塔、马爹利、华为、百事可乐、深蓝、东本</t>
  </si>
  <si>
    <t>春妮</t>
  </si>
  <si>
    <t>北京电视台主任播音员、金话筒奖得主，深耕主持界20余年，曾主持多届北京卫视春晚及《春妮的周末时光》等王牌节目。抖音账号聚焦生活好物严选、文化分享与温情日常，凭借端庄亲和的气质、专业公信力积累海量粉丝。内容兼具质感与烟火气，商业合作适配家居生活、文旅消费、品质好物等多元场景，转化力强劲。</t>
  </si>
  <si>
    <t>主持、日常</t>
  </si>
  <si>
    <t>https://v.douyin.com/cCHj7dKTG10/</t>
  </si>
  <si>
    <t>https://www.xingtu.cn/ad/creator/author-homepage/douyin-video/6870166394432913422?market_track_id=7LU66Y0MMMAC8P83FUP9&amp;search_session_id=7597722017286488118&amp;possessStarId</t>
  </si>
  <si>
    <t>6870166394432913422</t>
  </si>
  <si>
    <t>男 ：50.9%
女 ：49.1%</t>
  </si>
  <si>
    <t>31-40：29.8%
41-50：20.1%
50+：33.3%</t>
  </si>
  <si>
    <t>Z世代：3.5%
新锐白领：14%
小镇青年：9.9%
精致妈妈：7.1%
资深中产：12.5%
都市蓝领：7.5%
小镇中老年：14.5%
都市银发：31.1%</t>
  </si>
  <si>
    <t>英仕派</t>
  </si>
  <si>
    <t>北京</t>
  </si>
  <si>
    <t>【演员】</t>
  </si>
  <si>
    <t>短剧
明星</t>
  </si>
  <si>
    <t>一航（演员版）</t>
  </si>
  <si>
    <t>红果S+级别男主，凭借《不能相爱的我们》等多部爆款短剧走红，荣获“年度微短剧观众喜爱演员”奖。他演技精湛，能轻松驾驭多种角色，无论是霸道总裁还是病娇男主都演绎得淋漓尽致。与李施嬅等知名演员合作，影响力十足，是品牌合作的优质之选。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</si>
  <si>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</si>
  <si>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</si>
  <si>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</si>
  <si>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6800827006318542862</t>
  </si>
  <si>
    <t>视频号 小红书</t>
  </si>
  <si>
    <t>定制单集短剧13万</t>
  </si>
  <si>
    <t>男：12.5%
女：87.5%</t>
  </si>
  <si>
    <t>18-23：25.3%
24-30：30.2%
31-40：35%</t>
  </si>
  <si>
    <t>Z世代：20.4%
新锐白领：14.3%
小镇青年：25.1%
精致妈妈：13.5%
资深中产：4.5%
都市蓝领：16.6%
小镇中老年：3.6%
都市银发：2.1%</t>
  </si>
  <si>
    <t>瑞幸咖啡、DR、adidas、安慕希、奇瑞、菜鸟驿站、喜力、劲霸男装、捷达、九牧王、安踏</t>
  </si>
  <si>
    <t>朱朱朱</t>
  </si>
  <si>
    <t>新锐短剧演员，高挑清甜兼具亲和力，笑带小虎牙极具记忆点。深耕短剧赛道，主演《雾色靡靡》《现代小恋人》等十余部作品，精准拿捏虐恋救赎、甜宠成长等题材，哭戏共情力强，颜值演技双在线，适配古今各类造型，是当下短剧市场高适配性实力派小花。</t>
  </si>
  <si>
    <t>日常、剧情</t>
  </si>
  <si>
    <t>https://v.douyin.com/mQXUpIr3xO0/</t>
  </si>
  <si>
    <t>https://www.xingtu.cn/ad/creator/author-homepage/douyin-video/7353512627252920346?market_track_id=F644SGRAKU4KVG6NFBUU&amp;search_session_id=7579571893079212038&amp;possessStarId</t>
  </si>
  <si>
    <t>7353512627252920346</t>
  </si>
  <si>
    <t>OKCS发膜、foreverkey发际线泥、美图秀秀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</si>
  <si>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</si>
  <si>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</si>
  <si>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</si>
  <si>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</si>
  <si>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</si>
  <si>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</si>
  <si>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：24.3%
女 ：75.7%</t>
  </si>
  <si>
    <t>18-23：38.4%
24-30：30.3%
31-40：24.6%</t>
  </si>
  <si>
    <t>Z世代：30.4%
新锐白领：13%
小镇青年：26.3%
精致妈妈：8.3%
资深中产：2.3%
都市蓝领：16.3%
小镇中老年：2.2%
都市银发：1.2%</t>
  </si>
  <si>
    <t>一加、科颜氏、普润盈、滴滴、红谷女包、TATCHA精华水、BRNR、富士相机、伊利金典、可颂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</si>
  <si>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</si>
  <si>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</si>
  <si>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</si>
  <si>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情侣、日常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</si>
  <si>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</si>
  <si>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</si>
  <si>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</si>
  <si>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视频号</t>
  </si>
  <si>
    <t>男：14.3%
女：85.7%</t>
  </si>
  <si>
    <t>18-23：43.7%
24-30：35.8%
31-40：17%</t>
  </si>
  <si>
    <t>Z世代：30.5%
新锐白领：13.3%
小镇青年：29.4%
精致妈妈：8.2%
资深中产：1%
都市蓝领：15.9%
小镇中老年：1.1%
都市银发：0.6%</t>
  </si>
  <si>
    <t>追觅、得物 、比亚迪、MG7、柠季、佳得乐、心相印、荣耀、比亚迪、杜蕾斯、范琦、雪花啤酒、</t>
  </si>
  <si>
    <t>妍甄sama</t>
  </si>
  <si>
    <t>可甜可盐的漂亮妹妹，能演能舞的全能girl</t>
  </si>
  <si>
    <t>yanzhensama</t>
  </si>
  <si>
    <t>颜值、日常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</si>
  <si>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</si>
  <si>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</si>
  <si>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</si>
  <si>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视频号 微博</t>
  </si>
  <si>
    <t>男：69.1%
女：30.9%</t>
  </si>
  <si>
    <t>18-23：64.1%
24-30：25.3%
31-40：6.8%</t>
  </si>
  <si>
    <t>Z世代：48.5%
新锐白领：14.7%
小镇青年：23.2%
精致妈妈：0.9%
资深中产：0.5%
都市蓝领：11.1%
小镇中老年：0.7%
都市银发：0.4%</t>
  </si>
  <si>
    <t>探探、HMD、西门子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</si>
  <si>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</si>
  <si>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</si>
  <si>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</si>
  <si>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</si>
  <si>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</si>
  <si>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</si>
  <si>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：50%
女 ：50%</t>
  </si>
  <si>
    <t>18-23：29.7%
24-30：38.6%
31-40：25.1%</t>
  </si>
  <si>
    <t>Z世代：19.9%
新锐白领：19.3%
小镇青年：27.2%
精致妈妈：5.3%
资深中产：2.4%
都市蓝领：21.6%
小镇中老年：2.6%
都市银发：1.7%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</si>
  <si>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</si>
  <si>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</si>
  <si>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</si>
  <si>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</si>
  <si>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</si>
  <si>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</si>
  <si>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</si>
  <si>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</si>
  <si>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男：8.6%
女：91.4%</t>
  </si>
  <si>
    <t>18-23：78.3%
24-30：15.5%
31-40：3.6%</t>
  </si>
  <si>
    <t>Z世代：54.2%
新锐白领：6.9%
小镇青年：27.5%
精致妈妈：1.6%
资深中产：0.3%
都市蓝领：8.6%
小镇中老年：0.6%
都市银发：0.3%</t>
  </si>
  <si>
    <t>耐克、脉动、金味挑战赛、柠檬道、阿尔卑斯、香奈儿香水、谷雨、可颂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</si>
  <si>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</si>
  <si>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</si>
  <si>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</si>
  <si>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</si>
  <si>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</si>
  <si>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</si>
  <si>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</si>
  <si>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男：9.9%
女：90.1%</t>
  </si>
  <si>
    <t>18-23：29.4%
24-30：28.9%
31-40：33%</t>
  </si>
  <si>
    <t>Z世代：23.2%
新锐白领：10.2%
小镇青年：28.8%
精致妈妈：9%
资深中产：3.2%
都市蓝领：20.4%
小镇中老年：3.9%
都市银发：1.1%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</si>
  <si>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</si>
  <si>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</si>
  <si>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</si>
  <si>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</si>
  <si>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</si>
  <si>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</si>
  <si>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</si>
  <si>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男：29.2%
女：70.8%</t>
  </si>
  <si>
    <t>18-23：42.7%
24-30：22.7%
31-40：20.8%</t>
  </si>
  <si>
    <t>Z世代：38.2%
新锐白领：8.4%
小镇青年：26.7%
精致妈妈：4.1%
资深中产：1.8%
都市蓝领：14.3%
小镇中老年：3.6%
都市银发：2.9%</t>
  </si>
  <si>
    <t>7喜、乌苏啤酒、太太乐、世友地板、娃哈哈、凌渡L、TATA木门、康师傅、起亚</t>
  </si>
  <si>
    <t>资深
演员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</si>
  <si>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</si>
  <si>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</si>
  <si>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</si>
  <si>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</si>
  <si>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</si>
  <si>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</si>
  <si>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</si>
  <si>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男：26.5%
女：73.5%</t>
  </si>
  <si>
    <t>18-23：64.1%
24-30：25.9%
31-40：6.4%</t>
  </si>
  <si>
    <t>Z世代：50.1%
新锐白领：16.5%
小镇青年：20.6%
精致妈妈：3%
资深中产：0.6%
都市蓝领：12%
小镇中老年：0.7%
都市银发：0.6%</t>
  </si>
  <si>
    <t>蛋仔派对、拼多多、七度空间、久匠、初厘蛋糕</t>
  </si>
  <si>
    <t>【剧情】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</si>
  <si>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</si>
  <si>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</si>
  <si>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</si>
  <si>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</si>
  <si>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</si>
  <si>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</si>
  <si>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</si>
  <si>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女 ：40.6%  
男 ：59.4%</t>
  </si>
  <si>
    <t>18-23：26.6%
24-30：25.8%
31-40：30.1%</t>
  </si>
  <si>
    <t>Z世代：20.9%
新锐白领：14%
小镇青年：24.4%
精致妈妈：5.9%
资深中产：4.7%
都市蓝领：18.2%
小镇中老年：7.1%
都市银发：4.9%</t>
  </si>
  <si>
    <t>YSL、TF、飞利浦、雅诗兰黛、百力滋、迪奥、华为、MAC、卡姿兰、七度空间、奔腾、零跑、岚图、华帝、德芙、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</si>
  <si>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</si>
  <si>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</si>
  <si>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</si>
  <si>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</si>
  <si>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</si>
  <si>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</si>
  <si>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男：10.6%
女：89.4%</t>
  </si>
  <si>
    <t>18-23：57.5%
24-30：25.6%
31-40：11.5%</t>
  </si>
  <si>
    <t>Z世代：42.4%
新锐白领：11.9%
小镇青年：26.6%
精致妈妈：4.8%
资深中产：1.1%
都市蓝领：10.6%
小镇中老年：1.6%
都市银发：1%</t>
  </si>
  <si>
    <t>SK2、OLAY、飞科、雅诗兰黛、立白、祖玛珑、比亚迪、smart、得物、VIVO、松下、美团、58同城、OPPO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</si>
  <si>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</si>
  <si>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</si>
  <si>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</si>
  <si>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</si>
  <si>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</si>
  <si>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</si>
  <si>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</si>
  <si>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男：33.5%
女：66.5%</t>
  </si>
  <si>
    <t>18-23：34.7%
24-30：26.1%
31-40：22.2%</t>
  </si>
  <si>
    <t>Z世代：28.1%
新锐白领：12.3%
小镇青年：22.8%
精致妈妈：7.4%
资深中产：2.1%
都市蓝领：14.8%
小镇中老年：6.2%
都市银发：6.3%</t>
  </si>
  <si>
    <t>Dior、YSL、科颜氏、自然堂、祖玛珑、康师傅 、珀莱雅、雪佛兰、猫箱、京东、QQ炫舞、自然堂、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</si>
  <si>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</si>
  <si>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</si>
  <si>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</si>
  <si>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</si>
  <si>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</si>
  <si>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</si>
  <si>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</si>
  <si>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女 ：26.8%  
男 ：73.2%</t>
  </si>
  <si>
    <t>18-23：42.6%
24-30：22.7%
31-40：20.6%</t>
  </si>
  <si>
    <t>Z世代：38.3%
新锐白领：14.2%
小镇青年：19.9%
精致妈妈：2%
资深中产：3.1%
都市蓝领：16.8%
小镇中老年：2%
都市银发：3.7%</t>
  </si>
  <si>
    <t>美团、RIO、华为哦、零跑、无畏契约、百事可乐、三国杀、阿尔卑斯、小米、理想、999、懂车帝</t>
  </si>
  <si>
    <t>新晋
账号</t>
  </si>
  <si>
    <t>维加斯</t>
  </si>
  <si>
    <t>风格鲜明、镜头质感高级，人设独特有记忆点，内容共情力强、粉丝粘性高。擅长品牌植入、剧情种草、好物推广，自然不生硬，转化与曝光双优。专注优质原创内容，承接品牌商单、产品测评、线下探店等合作，诚信高效，期待与品牌共赢。</t>
  </si>
  <si>
    <t>WJ777</t>
  </si>
  <si>
    <t>剧情 段子</t>
  </si>
  <si>
    <t>https://v.douyin.com/61PqIfAui7Q/</t>
  </si>
  <si>
    <t>https://www.xingtu.cn/ad/creator/author-homepage/douyin-video/6823276289034551309?market_track_id=XQP36RGPN4NM1BSUALXN&amp;search_session_id=7612555550568316991&amp;possessStarId</t>
  </si>
  <si>
    <t>6823276289034551309</t>
  </si>
  <si>
    <t>B站</t>
  </si>
  <si>
    <t>男：61.7%
女：38.3%</t>
  </si>
  <si>
    <t>18-23：37.9%
24-30：31.7%
31-40：18.1%</t>
  </si>
  <si>
    <t>Z世代：25.1%
新锐白领：17.7%
小镇青年：27.9%
精致妈妈：3.3%
资深中产：2.7%
都市蓝领：15.4%
小镇中老年：4.6%
都市银发：3.3%</t>
  </si>
  <si>
    <t>广东</t>
  </si>
  <si>
    <t>妖孽夫人</t>
  </si>
  <si>
    <t>深耕手工影视装造与短剧领域，《我的手工衣橱》合集播放量达2.1亿，黛玉大婚服等作品获百万点赞。兼具服设、表演等多才艺，粉丝粘性强，适配美妆、服饰、文创等品类，创意植入助力品牌破圈。</t>
  </si>
  <si>
    <t>xy620520</t>
  </si>
  <si>
    <t>剧情</t>
  </si>
  <si>
    <t>https://v.douyin.com/-b2XUM3O2qk/</t>
  </si>
  <si>
    <t>https://www.xingtu.cn/ad/creator/author-homepage/douyin-video/6881097634480652296?market_track_id=VTJM4Z9RTPETU9VQST4G&amp;search_session_id=7569060253904846889&amp;possessStarId</t>
  </si>
  <si>
    <t>6881097634480652296</t>
  </si>
  <si>
    <t>B站 小红书</t>
  </si>
  <si>
    <t>男：38.3%
女：61.7%</t>
  </si>
  <si>
    <t>18-23：23.4%
24-30：30.3%
31-40：24.3%</t>
  </si>
  <si>
    <t>Z世代：13.2%
新锐白领：14%
小镇青年：22.7%
精致妈妈：7.4%
资深中产：2.4%
都市蓝领：19.5%
小镇中老年：10.5%
都市银发：10.1%</t>
  </si>
  <si>
    <t>凌博士、肌肤未来、优时颜、稀物集、猫箱、淘淘氧棉</t>
  </si>
  <si>
    <t>浙江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</si>
  <si>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</si>
  <si>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</si>
  <si>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</si>
  <si>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</si>
  <si>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</si>
  <si>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男：21.6%
女：78.4%</t>
  </si>
  <si>
    <t>18-23：62.9%
24-30：23%
31-40：9.2%</t>
  </si>
  <si>
    <t>Z世代：44.6%
新锐白领：11.5%
小镇青年：25.2%
精致妈妈：2.8%
资深中产：0.9%
都市蓝领：12.8%
小镇中老年：1.2%
都市银发：1%</t>
  </si>
  <si>
    <t>欧莱雅、麦当劳、君乐宝、安慕希、华为、松下、海尔、支付宝、兰蔻、膜法世家、深蓝、得物、华帝、飞鹤、比亚迪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</si>
  <si>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</si>
  <si>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</si>
  <si>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</si>
  <si>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</si>
  <si>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</si>
  <si>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</si>
  <si>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</si>
  <si>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</si>
  <si>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18-23：29.4%
24-30：29.1%
31-40：24.8%</t>
  </si>
  <si>
    <t>Z世代：18%
新锐白领：15.5%
小镇青年：24.1%
精致妈妈：7.6%
资深中产：1.9%
都市蓝领：18.9%
小镇中老年：2.3%
都市银发：1.9%</t>
  </si>
  <si>
    <t>得物、DR、美的、海尔、支付宝、淘淘氧棉、Ulike、高洁丝、好医保、优思明、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</si>
  <si>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</si>
  <si>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</si>
  <si>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</si>
  <si>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</si>
  <si>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</si>
  <si>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</si>
  <si>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</si>
  <si>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</si>
  <si>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男：38.6%
女：61.4%</t>
  </si>
  <si>
    <t>18-23：40.3%
24-30：21.1%
31-40：14.2%</t>
  </si>
  <si>
    <t>Z世代：28.1%
新锐白领：8.1%
小镇青年：22.7%
精致妈妈：3.2%
资深中产：2.9%
都市蓝领：17%
小镇中老年：9.1%
都市银发：8.9%</t>
  </si>
  <si>
    <t>olay 、唯品会、自然堂、外星人饮料、红米、欧莱雅、比亚迪、珍宝珠、坦克、启源、美团、云南白药</t>
  </si>
  <si>
    <t>彦琳Lin</t>
  </si>
  <si>
    <t>治愈系生活博主，以真实接地气的风格圈粉无数。内容覆盖时尚穿搭、健身干货、旅行见闻与生活避坑指南，兼具才艺展示与实用价值，凭借亲和力与正能量引发深度情感共鸣。粉丝粘性强、转化效果优，商业适配时尚、美妆、生活服务等多领域，是品牌高效种草的优质合作选择。</t>
  </si>
  <si>
    <t>Zairenjian888</t>
  </si>
  <si>
    <t>https://v.douyin.com/sW37YfqVKkg/</t>
  </si>
  <si>
    <t>https://www.xingtu.cn/ad/creator/author-homepage/douyin-video/6963730998898982948?market_track_id=7AOT1L3NXCYERYL2WKII&amp;search_session_id=7579578253254754358&amp;possessStarId</t>
  </si>
  <si>
    <t>6963730998898982948</t>
  </si>
  <si>
    <t>男：15.1%
女：84.9%</t>
  </si>
  <si>
    <t>18-23：39.1%
24-30：30.5%
31-40：23.9%</t>
  </si>
  <si>
    <t>Z世代：25.8%
新锐白领：12.5%
小镇青年：28.9%
精致妈妈：9.1%
资深中产：2.6%
都市蓝领：17.3%
小镇中老年：2.6%
都市银发：1.3%</t>
  </si>
  <si>
    <t>重疾险、Ulike、自然堂、喜临门、苏菲、韩束、高洁丝</t>
  </si>
  <si>
    <t>敢敢</t>
  </si>
  <si>
    <t>镜头聚焦恋人间的甜蜜互动、矛盾化解与暖心瞬间，内容真实戳心，极易引发年轻受众情感共鸣。账号粉丝粘性强，评论区互动氛围热烈，品牌植入自然不生硬。适配美妆、服饰、情侣好物等品类推广，助力品牌高效触达目标客群，实现销量与口碑双增长。</t>
  </si>
  <si>
    <t>bk20010531</t>
  </si>
  <si>
    <t>剧情、情感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</si>
  <si>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</si>
  <si>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</si>
  <si>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</si>
  <si>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男：41.1%
女：58.9%</t>
  </si>
  <si>
    <t>18-23：61.8%
24-30：22.7%
31-40：9.3%</t>
  </si>
  <si>
    <t>YSL、海昌、moody美瞳、尊尼获加、雀巢、兰蔻、劲酒、青岛啤酒、</t>
  </si>
  <si>
    <t>活火山</t>
  </si>
  <si>
    <t>以真实搞笑的内容风格圈粉无数。聚焦日常点滴，涵盖生活妙招、趣味分享与暖心瞬间。内容兼具实用性与娱乐性，互动粘性强，粉丝画像广泛。擅长将品牌自然融入场景，转化效果亮眼，是生活、家居、美食等品类的优质合作之选。</t>
  </si>
  <si>
    <t>huohuos</t>
  </si>
  <si>
    <t>剧情搞笑</t>
  </si>
  <si>
    <t>https://v.douyin.com/BHaAiBM_k3w/</t>
  </si>
  <si>
    <t>https://www.xingtu.cn/ad/creator/author-homepage/douyin-video/6819548254661771272?market_track_id=AH4RR3UMN9HSCR01P642&amp;search_session_id=7579518972032024582&amp;possessStarId</t>
  </si>
  <si>
    <t>6819548254661771272</t>
  </si>
  <si>
    <t>快手 小红书</t>
  </si>
  <si>
    <t>男：48.2%
女：51.8%</t>
  </si>
  <si>
    <t>18-23：18.6%
24-30：22.2%
31-40：36.3%</t>
  </si>
  <si>
    <t>Z世代：17.7%
新锐白领：11.4%
小镇青年：22.9%
精致妈妈：6.1%
资深中产：2.9%
都市蓝领：22%
小镇中老年：7.6%
都市银发：9.5%</t>
  </si>
  <si>
    <t>给我一个镜头V</t>
  </si>
  <si>
    <t>主打电影级运镜、院线级调色，每一帧都精致耐看。聚焦都市情感、轻悬疑、治愈甜宠题材，剧情紧凑不拖沓，人设鲜明有记忆点，服化道考究贴合场景，兼具视觉美感与故事张力，流量口碑双优，适配品牌高端植入，实现质感与转化双赢。</t>
  </si>
  <si>
    <t>GWYGJT_V</t>
  </si>
  <si>
    <t>创意剧情</t>
  </si>
  <si>
    <t>https://v.douyin.com/--EOPwGtm5E/</t>
  </si>
  <si>
    <t>https://www.xingtu.cn/ad/creator/author-homepage/douyin-video/7098360218605584397?market_track_id=3JWSUIQCG3KMWOONLRSM&amp;search_session_id=7599601920637927465&amp;possessStarId</t>
  </si>
  <si>
    <t>快手 视频号 微博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</si>
  <si>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</si>
  <si>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</si>
  <si>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</si>
  <si>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</si>
  <si>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</si>
  <si>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</si>
  <si>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</si>
  <si>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</si>
  <si>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</si>
  <si>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男：94.6%
女：5.4%</t>
  </si>
  <si>
    <t>18-23：26.1%
24-30：38.8%
31-40：30.2%</t>
  </si>
  <si>
    <t>Z世代：17.2%
新锐白领：36.1%
小镇青年：21.5%
精致妈妈：0.9%
资深中产：3.4%
都市蓝领：17.9%
小镇中老年：1.7%
都市银发：1.2%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</si>
  <si>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</si>
  <si>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</si>
  <si>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</si>
  <si>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</si>
  <si>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</si>
  <si>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</si>
  <si>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</si>
  <si>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：89.7%
女 ：10.3%</t>
  </si>
  <si>
    <t>18-23：29.4%
24-30：28.8%
31-40：24%</t>
  </si>
  <si>
    <t>Z世代：19.8%
新锐白领：24.9%
小镇青年：15.4%
精致妈妈：0.6%
资深中产：3.8%
都市蓝领：22.8%
小镇中老年：5.4%
都市银发：7.4%</t>
  </si>
  <si>
    <t>奥迪、路特斯、长城汽车、奇瑞、大众ID、别克、日产逍客、蓝山、上汽汽车、坦克、途昂、高山MVP、腾势、阿维塔、零跑、哈弗、吉利</t>
  </si>
  <si>
    <t>奶爸Kyle懂科技</t>
  </si>
  <si>
    <t>科技育儿双赛道达人，用硬核技术拆解汽车、数码家电等智能好物，实测+科普+场景化种草，内容专业有温度，覆盖0-6岁家庭与科技消费人群，擅长汽车、数码家电、智能育儿、家居科技类合作，内容转化率高，可定制测评/剧情/开箱，欢迎品牌方洽谈。</t>
  </si>
  <si>
    <t>Super_Kyle</t>
  </si>
  <si>
    <t>汽车测评</t>
  </si>
  <si>
    <t>https://v.douyin.com/HPjVdhwpF6g/</t>
  </si>
  <si>
    <t>https://www.xingtu.cn/ad/creator/author-homepage/douyin-video/6686261173408497672?market_track_id=C9KC0V2695YKCAMPRZAN&amp;search_session_id=7603622751542902847&amp;possessStarId</t>
  </si>
  <si>
    <t>6686261173408497672</t>
  </si>
  <si>
    <t>视频号 快手 微博 
小红书</t>
  </si>
  <si>
    <t>男：68.3%
女：31.7%</t>
  </si>
  <si>
    <t>18-23：16.7%
24-30：16.5%
31-40：24.2%</t>
  </si>
  <si>
    <t>Z世代：29.9%
新锐白领：8.3%
小镇青年：23.2%
精致妈妈：1.5%
资深中产：2.5%
都市蓝领：8.1%
小镇中老年：12.3%
都市银发：14.2%</t>
  </si>
  <si>
    <t>启境汽车、华为乾崑、一汽丰田、起亚汽车 、smart、岚图、昊铂HL、理想</t>
  </si>
  <si>
    <t>温州</t>
  </si>
  <si>
    <t>懂车老外（非遗学艺版）</t>
  </si>
  <si>
    <t>以“汽车专业+非遗文化”跨界破圈，老外视角自带话题感，非遗场景强化内容质感与记忆点。精准触达年轻汽车兴趣群体，将车辆性能融入传统技艺体验，实现专业种草与文化共鸣双重效果。内容兼具传播力与转化力，适配汽车及相关品牌星图投放，助力品牌破圈增效。</t>
  </si>
  <si>
    <t>Auto_KDK</t>
  </si>
  <si>
    <t>汽车、非遗</t>
  </si>
  <si>
    <t>https://v.douyin.com/Fo6zCYRvpPA/</t>
  </si>
  <si>
    <t>https://www.xingtu.cn/ad/creator/author-homepage/douyin-video/7381766949996331017?market_track_id=NEDQY0AMQQDYQN41G8CM&amp;search_session_id=7572463486438735878&amp;possessStarId</t>
  </si>
  <si>
    <t>7381766949996331017</t>
  </si>
  <si>
    <t>视频号、懂车帝、易车、头条</t>
  </si>
  <si>
    <t>男：53.3%
女：46.7%</t>
  </si>
  <si>
    <t>18-23：20.6%
31-40：28%
50+：26%</t>
  </si>
  <si>
    <t>Z世代：28.1%
新锐白领：10.8%
小镇青年：18.9%
精致妈妈：2.7%
资深中产：4.7%
都市蓝领：13.4%
小镇中老年：10%
都市银发：11.4%</t>
  </si>
  <si>
    <t>深圳/惠州</t>
  </si>
  <si>
    <t>爱旅行的奶爸塔姆</t>
  </si>
  <si>
    <t xml:space="preserve">以“混血奶爸+亲子露营”为核心标签，300天在路上的真实旅途场景极具代入感。内容聚焦亲子出行、户外装备等垂直领域，粉丝精准覆盖年轻家庭群体，原生种草自然不生硬。兼具旅行的趣味性与育儿的情感共鸣，转化力强，适配汽车、户外、母婴等多品类星图广告投放，助力品牌高效触达目标客群。
</t>
  </si>
  <si>
    <t>Road_Tahm</t>
  </si>
  <si>
    <t>汽车、旅行</t>
  </si>
  <si>
    <t>https://v.douyin.com/_FIjdu3XHpI/</t>
  </si>
  <si>
    <t>https://www.xingtu.cn/ad/creator/author-homepage/douyin-video/7515706747558821914?market_track_id=V0L18ORLB0HFDNBMGWSO&amp;search_session_id=7572463472073343017&amp;possessStarId</t>
  </si>
  <si>
    <t>7515706747558821914</t>
  </si>
  <si>
    <t>视频号、懂车帝、头条</t>
  </si>
  <si>
    <t>男 ：80.3%
女 ：19.7%</t>
  </si>
  <si>
    <t>18-23：19.2%
24-30：37.3%
31-40：32.3%</t>
  </si>
  <si>
    <t>Z世代：11.6%
新锐白领：35.6%
小镇青年：19.2%
精致妈妈：3.3%
资深中产：5.3%
都市蓝领：16.8%
小镇中老年：3.8%
都市银发：4.3%</t>
  </si>
  <si>
    <t>厂长到处跑</t>
  </si>
  <si>
    <t>聚焦汽车行业，以工厂探访、行业揭秘、专业测评为核心内容，兼具行业深度与趣味性。依托真实制造业背景，内容专业可信，粉丝精准覆盖汽车爱好者、从业者及潜在消费者。广告植入自然原生，适配汽车、零部件、工具、养护品等品类，星图投放转化高效，助力品牌精准触达垂直受众。</t>
  </si>
  <si>
    <t>Auto_Diary</t>
  </si>
  <si>
    <t>汽车</t>
  </si>
  <si>
    <t>https://v.douyin.com/0QUqPDyOiYI/</t>
  </si>
  <si>
    <t>https://www.xingtu.cn/ad/creator/author-homepage/douyin-video/7547976599398318089?market_track_id=R5DZ8YSWRGDLDFHSKGHK&amp;search_session_id=7572463525462655039&amp;possessStarId</t>
  </si>
  <si>
    <t>7547976599398318089</t>
  </si>
  <si>
    <t>视频号、懂车帝、小红书、微博</t>
  </si>
  <si>
    <t>男 ：38.7%
女 ：61.3%</t>
  </si>
  <si>
    <t>18-23：12.8%
31-40：36.5%
50+：30.7%</t>
  </si>
  <si>
    <t>Z世代：19.4%
新锐白领：12.9%
小镇青年：17.4%
精致妈妈：2.3%
资深中产：5.9%
都市蓝领：16.9%
小镇中老年：8.7%
都市银发：11%</t>
  </si>
  <si>
    <t>广东惠州</t>
  </si>
  <si>
    <t>极速双子</t>
  </si>
  <si>
    <r>
      <rPr>
        <sz val="9"/>
        <color rgb="FF08090C"/>
        <rFont val="微软雅黑"/>
        <charset val="134"/>
      </rPr>
      <t>👯</t>
    </r>
    <r>
      <rPr>
        <sz val="9"/>
        <color rgb="FF08090C"/>
        <rFont val="Times New Roman"/>
        <charset val="134"/>
      </rPr>
      <t>‍</t>
    </r>
    <r>
      <rPr>
        <sz val="9"/>
        <color rgb="FF08090C"/>
        <rFont val="微软雅黑"/>
        <charset val="134"/>
      </rPr>
      <t>♀️i人姐姐+e人妹妹的双胞胎说车组合，275w+粉丝心中的“新能源汽车小指南”！以爆笑日常+专业解析为特色，聚焦300款新能源车测评，精准触达用车需求用户。内容兼具趣味性与实用性，爆款频出，垂直赛道影响力强，是汽车及相关品类高效转化的优选合作达人～</t>
    </r>
  </si>
  <si>
    <t>TWINS_DMV</t>
  </si>
  <si>
    <t>https://v.douyin.com/UMaHdy_IyKw/</t>
  </si>
  <si>
    <t>https://www.xingtu.cn/ad/creator/author-homepage/douyin-video/7220300260617224252?market_track_id=3KUHLSB48RKZ5QU7UJG1&amp;search_session_id=7585483192904761398&amp;possessStarId</t>
  </si>
  <si>
    <t>7220300260617224252</t>
  </si>
  <si>
    <t>视频号、小红书、快手、懂车帝、易车</t>
  </si>
  <si>
    <t>男 ：64%
女 ：36%</t>
  </si>
  <si>
    <t>18-23：30.1%
24-30：22.5%
31-40：24.3%</t>
  </si>
  <si>
    <t>Z世代：21.3%
新锐白领：18.1%
小镇青年：19.3%
精致妈妈：2.4%
资深中产：3.9%
都市蓝领：17.4%
小镇中老年：7.7%
都市银发：9.8%</t>
  </si>
  <si>
    <t>岚图、丰田、欧拉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</si>
  <si>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</si>
  <si>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</si>
  <si>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</si>
  <si>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</si>
  <si>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</si>
  <si>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</si>
  <si>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</si>
  <si>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男：70.2%
女：29.8%</t>
  </si>
  <si>
    <t>18-23：17.9%
24-30：18.1%
31-40：21.5%</t>
  </si>
  <si>
    <t>Z世代：15.6%
新锐白领：12.6%
小镇青年：18.8%
精致妈妈：0.6%
资深中产：2.5%
都市蓝领：13.3%
小镇中老年：16.7%
都市银发：19.7%</t>
  </si>
  <si>
    <t>奥迪、东风奕派、吉利帝豪、东风日产、领克、阿维塔、思域、奇瑞、奔腾、吉利银河、岚图、福特、小鹏、极狐、领克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</si>
  <si>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</si>
  <si>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</si>
  <si>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</si>
  <si>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</si>
  <si>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</si>
  <si>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</si>
  <si>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：78.7%
女 ：21.3%</t>
  </si>
  <si>
    <t>18-23：23.2%
24-30：25.2%
31-40：25.9%</t>
  </si>
  <si>
    <t>Z世代：18.2%
新锐白领：18%
小镇青年：22%
精致妈妈：1.2%
资深中产：2.9%
都市蓝领：16.6%
小镇中老年：9.9%
都市银发：11.2%</t>
  </si>
  <si>
    <t>泸州老窖、大众、腾势、东风日产、长安深蓝、阿维塔、传祺、广汽昊铂、东风风神、方程豹、奔腾、岚图、极狐</t>
  </si>
  <si>
    <t>辣椒蒋CAG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</si>
  <si>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</si>
  <si>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</si>
  <si>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</si>
  <si>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</si>
  <si>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</si>
  <si>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</si>
  <si>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：83.5%
女 ：16.5%</t>
  </si>
  <si>
    <t>18-23：37.7%
24-30：29.8%
31-40：22.9%</t>
  </si>
  <si>
    <t>z世代：31%
小镇青年：24.1%
精致妈妈：1%
新锐白领：21.5%
都市蓝领：14.5%
小镇中老年：3%
资深中产：2.5%
都市银发：2.4%</t>
  </si>
  <si>
    <t>东风日产、长安深蓝、瓜子二手车、icar、阿维塔、岚图、起亚、吉利、BJ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</si>
  <si>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</si>
  <si>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</si>
  <si>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</si>
  <si>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</si>
  <si>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</si>
  <si>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</si>
  <si>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</si>
  <si>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：88.3%
女 ：11.7%</t>
  </si>
  <si>
    <t>18-23：18.7%
24-30：29.9%
31-40：31.5%</t>
  </si>
  <si>
    <t>Z世代：12.4%
新锐白领：20.3%
小镇青年：23.2%
精致妈妈：0.9%
资深中产：4.2%
都市蓝领：23%
小镇中老年：8%
都市银发：7.9%</t>
  </si>
  <si>
    <t>东风日产</t>
  </si>
  <si>
    <t>CAG女团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</si>
  <si>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</si>
  <si>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</si>
  <si>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</si>
  <si>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</si>
  <si>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</si>
  <si>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：90.4%
女 ：9.6%</t>
  </si>
  <si>
    <t>31-40：32.9%
41-50：28.3%
50+：17.1%</t>
  </si>
  <si>
    <t>z世代：4.1%
小镇青年：18.6%
精致妈妈：0.5%
新锐白领：12.7%
都市蓝领：16.6%
小镇中老年：21.8%
资深中产：6.8%
都市银发：19%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</si>
  <si>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</si>
  <si>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</si>
  <si>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</si>
  <si>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</si>
  <si>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</si>
  <si>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</si>
  <si>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男：90.3%
女：9.7%</t>
  </si>
  <si>
    <t>18-23：30.7%
24-30：34.5%
31-40：28.9%</t>
  </si>
  <si>
    <t>Z世代：20.1%
新锐白领：28.1%
小镇青年：23.7%
精致妈妈：1.5%
资深中产：3.3%
都市蓝领：20%
小镇中老年：2%
都市银发：1.3%</t>
  </si>
  <si>
    <t>吉利帝豪、长城、五菱缤果、捷途</t>
  </si>
  <si>
    <t>【变装/COS】</t>
  </si>
  <si>
    <t>热门
账号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</si>
  <si>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"/>
        <charset val="134"/>
      </rPr>
      <t>❤</t>
    </r>
  </si>
  <si>
    <t>深耕颜值与二次元领域，拥三百万+粉丝，作品平均点赞9.9万、分享1.5万。锡剧专业加持，汉服与日常内容兼具特色，精准触达兴趣用户。四月营销黄金期，可定制创意内容，助力品牌高效破圈、提升转化。</t>
  </si>
  <si>
    <t>颜值、古风变装</t>
  </si>
  <si>
    <t>https://v.douyin.com/91XqThN95LU/</t>
  </si>
  <si>
    <t>https://www.xingtu.cn/ad/creator/author-homepage/douyin-video/6596679736393465860?market_track_id=APBR2FCN2QFQPX0QSDB3&amp;search_session_id=7565742280636989503&amp;possessStarId</t>
  </si>
  <si>
    <t>6596679736393465860</t>
  </si>
  <si>
    <t>小红书 视频号</t>
  </si>
  <si>
    <t>男：24.8%
女：75.2%</t>
  </si>
  <si>
    <t>18-23：41.8%
24-30：39.9%
31-40：15.1%</t>
  </si>
  <si>
    <t>Z世代：22.4%
新锐白领：24.8%
小镇青年：22.9%
精致妈妈：7.7%
资深中产：1.8%
都市蓝领：18.3%
小镇中老年：1.3%
都市银发：0.8%</t>
  </si>
  <si>
    <t>多闪APP</t>
  </si>
  <si>
    <t>南京</t>
  </si>
  <si>
    <t>超不可爱小朋友</t>
  </si>
  <si>
    <t>古风高颜值，擅长古风变装，内容质量高，女粉占比76.4%，美妆游戏汽车品牌等适配度高</t>
  </si>
  <si>
    <t>NiCCCCCe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</si>
  <si>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</si>
  <si>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</si>
  <si>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</si>
  <si>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男：27.7%   
女：72.3%</t>
  </si>
  <si>
    <t>18-23：60.2%
24-30：22.9%
31-40：10.2%</t>
  </si>
  <si>
    <t>Z世代：47.6%
新锐白领：10.8%
小镇青年：25.3%
精致妈妈：3.3%
资深中产：1.1%
都市蓝领：9.4%
小镇中老年：1.6%
都市银发：1%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</si>
  <si>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</si>
  <si>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</si>
  <si>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</si>
  <si>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</si>
  <si>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</si>
  <si>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</si>
  <si>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</si>
  <si>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</si>
  <si>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男：53.5%
女：46.5%</t>
  </si>
  <si>
    <t>18-23：41.4%
31-40：23.7%
31-40：22.6%</t>
  </si>
  <si>
    <t>Z世代：31.3%
新锐白领：16.8%
小镇青年：24%
精致妈妈：7.9%
资深中产：5.2%
都市蓝领：8.9%
小镇中老年：3%
都市银发：2.9%</t>
  </si>
  <si>
    <t>永劫无间、乌苏白啤、燕云十六声、林里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</si>
  <si>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</si>
  <si>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</si>
  <si>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</si>
  <si>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</si>
  <si>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</si>
  <si>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</si>
  <si>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男：21%
女：79%</t>
  </si>
  <si>
    <t>18-23：46.3%
24-30：11.1%
31-40：14.8%</t>
  </si>
  <si>
    <t>Z世代：47.9%
新锐白领：3.5%
小镇青年：24.8%
精致妈妈：0.9%
资深中产：1.4%
都市蓝领：8.9%
小镇中老年：6.4%
都市银发：6.3%</t>
  </si>
  <si>
    <t>毛戈平、可口可乐、阴阳师、梦幻西游、饿了么、香飘飘、饿了么、燕云十六声、华为、番茄小说、卫龙</t>
  </si>
  <si>
    <t>重庆</t>
  </si>
  <si>
    <t>鹿里真茗🦌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</si>
  <si>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</si>
  <si>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</si>
  <si>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</si>
  <si>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</si>
  <si>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</si>
  <si>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男：12.6%
女：87.4%</t>
  </si>
  <si>
    <t>18-23：65.5%
24-30：21.9%
31-40：7.8%</t>
  </si>
  <si>
    <t>Z世代：45.7%
新锐白领：11.9%
小镇青年：25.1%
精致妈妈：3.5%
资深中产：0.9%
都市蓝领：10.6%
小镇中老年：1.3%
都市银发：0.9%</t>
  </si>
  <si>
    <t>天猫精灵、倩女幽魂、盛世芳华手游、谷雨、支付宝、茶百道、猫箱、浮生为卿歌、指间山海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</si>
  <si>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</si>
  <si>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</si>
  <si>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</si>
  <si>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</si>
  <si>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</si>
  <si>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</si>
  <si>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</si>
  <si>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</si>
  <si>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男：31.2%
女：68.8%</t>
  </si>
  <si>
    <t>18-23：38.5%
24-30：16.8%
31-40：22.8%</t>
  </si>
  <si>
    <t>Z世代：38.1%
新锐白领：8.2%
小镇青年：22.9%
精致妈妈：2.7%
资深中产：2.5%
都市蓝领：13.8%
小镇中老年：5.6%
都市银发：6.1%</t>
  </si>
  <si>
    <t>斗罗大陆、第五人格、寻道大千、益禾堂、霸王茶姬、oppo、不良人、燕云十六声、芬达、番茄小说、猫箱</t>
  </si>
  <si>
    <t>安吉AnJ</t>
  </si>
  <si>
    <t>深耕cos与特效变装领域，擅长还原动漫、影视、游戏等多类IP角色，妆造精细、角色适配度拉满。同时融合创意特效变装，通过炫酷技术打破次元壁，带来沉浸式视觉体验。</t>
  </si>
  <si>
    <t>COS 变装 特效</t>
  </si>
  <si>
    <t>https://v.douyin.com/wY5EbAVpuV8/</t>
  </si>
  <si>
    <t>https://www.xingtu.cn/ad/creator/author-homepage/douyin-video/7488315869542481958?market_track_id=GN4C1YMKB8J6X9QKJHNN&amp;search_session_id=7576565643592663094&amp;possessStarId</t>
  </si>
  <si>
    <t>7488315869542481958</t>
  </si>
  <si>
    <t>小红书 视频号 B站</t>
  </si>
  <si>
    <t>男：43%
女：57%</t>
  </si>
  <si>
    <t>18-23：57%
24-30：22%
31-40：12%</t>
  </si>
  <si>
    <t>武汉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</si>
  <si>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</si>
  <si>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</si>
  <si>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</si>
  <si>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</si>
  <si>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</si>
  <si>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</si>
  <si>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</si>
  <si>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：18.2%  
男 ：81.8%</t>
  </si>
  <si>
    <t>18-23：25.7%
24-30：30.2%
31-40：33.5%</t>
  </si>
  <si>
    <t>Z世代：18.3%
新锐白领：21.6%
小镇青年：25.9%
精致妈妈：2.6%
资深中产：4.1%
都市蓝领：20.7%
小镇中老年：4%
都市银发：2.9%</t>
  </si>
  <si>
    <t>得物，OPPO、三星、五菱、魏牌蓝山、极狐、零跑、领克、东风本田、沱牌舍得、北汽、坦克、领克、林肯、YSL、长安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</si>
  <si>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</si>
  <si>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</si>
  <si>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</si>
  <si>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</si>
  <si>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</si>
  <si>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</si>
  <si>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</si>
  <si>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男：64.7%
女：35.3%</t>
  </si>
  <si>
    <t>18-23：36.6%
24-30：31.8%
31-40：23%</t>
  </si>
  <si>
    <t>Z世代：28%
新锐白领：19.2%
小镇青年：23.9%
精致妈妈：6%
资深中产：4.3%
都市蓝领：18.1%
小镇中老年：2.2%
都市银发：2%</t>
  </si>
  <si>
    <t>比亚迪、阿维塔、滴滴、康师傅、长安、原神、零跑汽车、大众、阿尔卑斯、安慕希、岚图、云上草原、华为、小米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</si>
  <si>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</si>
  <si>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</si>
  <si>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</si>
  <si>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</si>
  <si>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</si>
  <si>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</si>
  <si>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</si>
  <si>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男：63.4%
女：36.6%</t>
  </si>
  <si>
    <t>18-23：25.7%
24-30：23.6%
31-40：28.7%</t>
  </si>
  <si>
    <t>Z世代：23.8%
新锐白领：15.9%
小镇青年：23.4%
精致妈妈：2.3%
资深中产：4%
都市蓝领：15.9%
小镇中老年：7.5%
都市银发：7.1%</t>
  </si>
  <si>
    <t>京东、三星、凯迪拉克、千古情景区、MAC、韶音耳机、阿维塔、东风日产、领克、捷途、奔腾、长安、机械革命、岚图、坦克、荣耀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</si>
  <si>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</si>
  <si>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</si>
  <si>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</si>
  <si>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</si>
  <si>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</si>
  <si>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</si>
  <si>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</si>
  <si>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男：87.8%
女：12.2%</t>
  </si>
  <si>
    <t>18-23：70.9%
24-30：19.7%
31-40：5.9%</t>
  </si>
  <si>
    <t>Z世代：51.6%
新锐白领：12%
小镇青年：23.1%
精致妈妈：0.6%
资深中产：0.7%
都市蓝领：10.9%
小镇中老年：0.7%
都市银发：0.5%</t>
  </si>
  <si>
    <t>YSL、五菱、星穹铁道、小米、香奈儿、蛋仔派对、京东、周大生、东风奕派、汉堡王、华为、东本、影石360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</si>
  <si>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</si>
  <si>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</si>
  <si>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</si>
  <si>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</si>
  <si>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</si>
  <si>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</si>
  <si>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男：46.3%
女：53.7%</t>
  </si>
  <si>
    <t>18-23：55.1%
24-30：26.9%
31-40：11.1%</t>
  </si>
  <si>
    <t>Z世代：36.8%
新锐白领：16.2%
小镇青年：26.4%
精致妈妈：3.6%
资深中产：1.2%
都市蓝领：12.3%
小镇中老年：1.9%
都市银发：1.7%</t>
  </si>
  <si>
    <t>蛋仔派对、欧莱雅、理然、李宁、太平鸟、百事、凌度、1664、波司登、科罗娜、华为、高梵、古茗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</si>
  <si>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</si>
  <si>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</si>
  <si>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</si>
  <si>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</si>
  <si>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</si>
  <si>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</si>
  <si>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男：96.9%
女：3.1%</t>
  </si>
  <si>
    <t>18-23：43.6%
24-30：44.3%
31-40：10.8%</t>
  </si>
  <si>
    <t>Z世代：21.6%
新锐白领：25.1%
小镇青年：25.9%
精致妈妈：0.2%
资深中产：0.6%
都市蓝领：25.7%
小镇中老年：0.5%
都市银发：0.4%</t>
  </si>
  <si>
    <t>伊利、intoyou、Swisse、瑞幸、零跑、RIO、剑侠世界3、星球重启、三国志、永劫无间、问剑长生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</si>
  <si>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</si>
  <si>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</si>
  <si>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</si>
  <si>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</si>
  <si>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</si>
  <si>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</si>
  <si>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男：86%
女：14%</t>
  </si>
  <si>
    <t>18-23：40.4%
24-30：34%
31-40：20.6%</t>
  </si>
  <si>
    <t>Z世代：25.8%
新锐白领：26.2%
小镇青年：23.2%
精致妈妈：1.2%
资深中产：2.8%
都市蓝领：18.4%
小镇中老年：1.4%
都市银发：1%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</si>
  <si>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</si>
  <si>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</si>
  <si>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</si>
  <si>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</si>
  <si>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</si>
  <si>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</si>
  <si>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</si>
  <si>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男：93.5%
女：6.5%</t>
  </si>
  <si>
    <t>18-23：44.1%
24-30：38.9%
31-40：14.7%</t>
  </si>
  <si>
    <t>Z世代：25.8%
新锐白领：28.6%
小镇青年：21.2%
精致妈妈：0.4%
资深中产：1.5%
都市蓝领：21.4%
小镇中老年：0.7%
都市银发：0.5%</t>
  </si>
  <si>
    <t>得物、拼多多、穿越火线、比亚迪、昊铂、明日之后、东本思域、得物</t>
  </si>
  <si>
    <t>广州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</si>
  <si>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</si>
  <si>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</si>
  <si>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</si>
  <si>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</si>
  <si>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</si>
  <si>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</si>
  <si>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男：92.6%
女：7.4%</t>
  </si>
  <si>
    <t>18-23：26.8%
24-30：41.8%
31-40：27.4%</t>
  </si>
  <si>
    <t>Z世代：15.3%
新锐白领：42.2%
小镇青年：19.4%
精致妈妈：0.8%
资深中产：2.9%
都市蓝领：17%
小镇中老年：1.3%
都市银发：1.1%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</si>
  <si>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</si>
  <si>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</si>
  <si>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</si>
  <si>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</si>
  <si>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</si>
  <si>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</si>
  <si>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</si>
  <si>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</si>
  <si>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男：66.1%
女：33.9%</t>
  </si>
  <si>
    <t>18-23：57.7%
24-30：27.5%
31-40：11.2%</t>
  </si>
  <si>
    <t>Z世代：39.3%
新锐白领：19.4%
小镇青年：22%
精致妈妈：2%
资深中产：1.1%
都市蓝领：14.6%
小镇中老年：0.9%
都市银发：0.8%</t>
  </si>
  <si>
    <t>迪奥、娇韵诗、伊利、MAC、沪上阿姨、原神启动、TF、比亚迪、coach、1664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</si>
  <si>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</si>
  <si>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</si>
  <si>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</si>
  <si>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</si>
  <si>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</si>
  <si>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</si>
  <si>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</si>
  <si>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男：25.2%   
女：74.8%</t>
  </si>
  <si>
    <t>18-23：14.6%
24-30：34.5%
31-40：42.8%</t>
  </si>
  <si>
    <t>Z世代：7.6%
新锐白领：19.5%
小镇青年：26.4%
精致妈妈：15.3%
资深中产：5.7%
都市蓝领：20.2%
小镇中老年：3.9%
都市银发：1.5%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</si>
  <si>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</si>
  <si>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</si>
  <si>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</si>
  <si>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</si>
  <si>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</si>
  <si>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</si>
  <si>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男：19.8%
女：80.2%</t>
  </si>
  <si>
    <t>18-23：73.6%
24-30：20%
31-40：3.5%</t>
  </si>
  <si>
    <t>Z世代：46.9%
新锐白领：9.3%
小镇青年：26.9%
精致妈妈：2.3%
资深中产：0.3%
都市蓝领：12.9%
小镇中老年：0.7%
都市银发：0.5%</t>
  </si>
  <si>
    <t>抖音好物节、鲜菲乐、可颂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</si>
  <si>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</si>
  <si>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</si>
  <si>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</si>
  <si>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</si>
  <si>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</si>
  <si>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</si>
  <si>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男：31.7%
女：68.3%</t>
  </si>
  <si>
    <t>18-23：53.3%
24-30：22%
31-40：15.8%</t>
  </si>
  <si>
    <t>Z世代：42%
新锐白领：11.5%
小镇青年：24.9%
精致妈妈：3.9%
资深中产：1.8%
都市蓝领：12.3%
小镇中老年：2.1%
都市银发：1.5%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</si>
  <si>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</si>
  <si>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</si>
  <si>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</si>
  <si>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</si>
  <si>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</si>
  <si>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</si>
  <si>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</si>
  <si>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男：8.5%
女：91.5%</t>
  </si>
  <si>
    <t>18-23：84.5%
24-30：6%
31-40：3.4%</t>
  </si>
  <si>
    <t>Z世代：74.3%
新锐白领：3.8%
小镇青年：13.9%
精致妈妈：0.4%
资深中产：0.4%
都市蓝领：6.1%
小镇中老年：0.5%
都市银发：0.6%</t>
  </si>
  <si>
    <t>MAC、OLAY、施华蔻、欧莱雅、得物、淘宝、OPPO、京东、理肤泉、花西子、丝芙兰、MAC、拼多多、适乐肤、豆包、修丽可、海昌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</si>
  <si>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</si>
  <si>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</si>
  <si>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</si>
  <si>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</si>
  <si>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</si>
  <si>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</si>
  <si>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</si>
  <si>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男：75.9%
女：24.2%</t>
  </si>
  <si>
    <t>18-23：50.5%
24-30：35.1%
31-40：11.3%</t>
  </si>
  <si>
    <t>Z世代：29.3%
新锐白领：25%
小镇青年：21.3%
精致妈妈：1.6%
资深中产：1%
都市蓝领：20%
小镇中老年：0.9%
都市银发：0.9%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</si>
  <si>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</si>
  <si>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</si>
  <si>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</si>
  <si>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</si>
  <si>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</si>
  <si>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</si>
  <si>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</si>
  <si>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合集40000</t>
  </si>
  <si>
    <t>男：14.7%
女：85.3%</t>
  </si>
  <si>
    <t>18-23：73.3%
24-30：8.5%
31-40：7.8%</t>
  </si>
  <si>
    <t>Z世代：63.8%
新锐白领：3.8%
小镇青年：24.8%
精致妈妈：0.7%
资深中产：0.6%
都市蓝领：4.4%
小镇中老年：1.1%
都市银发：0.8%</t>
  </si>
  <si>
    <t>彩棠、七度空间、膜法世家、瑷尔博士、法珀、珂润、谷雨、雕牌、心相印、可啦啦美瞳、沙宣、好想来、iPhone、OLAY、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</si>
  <si>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</si>
  <si>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</si>
  <si>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</si>
  <si>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</si>
  <si>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</si>
  <si>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</si>
  <si>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</si>
  <si>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</si>
  <si>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：75%
女 ：25%</t>
  </si>
  <si>
    <t>18-23：49.2%
24-30：29.1%
31-40：16.4%</t>
  </si>
  <si>
    <t>Z世代：37.2%
新锐白领：13.3%
小镇青年：28.2%
精致妈妈：1.3%
资深中产：1.3%
都市蓝领：16.3%
小镇中老年：1.5%
都市银发：0.9%</t>
  </si>
  <si>
    <t>小米、伊利、无畏契约、奇瑞、名创优品、宝骏悦也、梦幻西游、五菱、三角洲行动、OPPO、苏菲、永劫无间、蛋仔派对、百事可乐、理想、坦克</t>
  </si>
  <si>
    <t>重庆/成都</t>
  </si>
  <si>
    <t>李里</t>
  </si>
  <si>
    <t>内容以创意制作与猎奇搞笑为核心，互动率稳居行业前列。其表演功底深厚，跨媒介适配能力突出，擅长将品牌自然融入趣味内容，过往合作曾带动产品转化率飙升300%。配合度高、创作效率优，能快速精准触达目标受众，是星图广告合作的优质之选，助力品牌实现声量与销量双爆发。</t>
  </si>
  <si>
    <t>LILI800</t>
  </si>
  <si>
    <t>段子 剧情</t>
  </si>
  <si>
    <t>https://v.douyin.com/YnUjViz55N4/</t>
  </si>
  <si>
    <t>https://www.xingtu.cn/ad/creator/author-homepage/douyin-video/6716888711335772164?market_track_id=IFYOO8BHE9JNSSK8UBE6&amp;search_session_id=7571704554984472619&amp;possessStarId</t>
  </si>
  <si>
    <t>6716888711335772164</t>
  </si>
  <si>
    <t>男：71.6%
女：28.4%</t>
  </si>
  <si>
    <t>18-23：29.5%
24-30：22.2%
31-40：27.7%</t>
  </si>
  <si>
    <t>Z世代：33.5%
新锐白领：12%
小镇青年：26.8%
精致妈妈：1.7%
资深中产：2.9%
都市蓝领：13.5%
小镇中老年：5.1%
都市银发：4.5%</t>
  </si>
  <si>
    <t>阿维塔、零跑、美团、vivo、元气森林、懂车帝、岚图、理想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</si>
  <si>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</si>
  <si>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</si>
  <si>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</si>
  <si>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</si>
  <si>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</si>
  <si>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</si>
  <si>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</si>
  <si>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18-23：37.3%
24-30：43.1%
31-40：15.8%</t>
  </si>
  <si>
    <t>Z世代：25.6%
新锐白领：16.1%
小镇青年：27.3%
精致妈妈：1.2%
资深中产：0.8%
都市蓝领：26.9%
小镇中老年：1.3%
都市银发：0.9%</t>
  </si>
  <si>
    <t>美团</t>
  </si>
  <si>
    <t>娜扎分渣</t>
  </si>
  <si>
    <t>聚焦泛生活恋爱情景，《约会实战篇》等合集播放破亿，精准触达18-35岁女性核心受众。内容原生感强、种草属性突出，粉丝购买力不俗，过往合作转化率表现亮眼。账号风格贴近生活，广告融入自然不违和，是美妆、穿搭、婚恋相关品牌星图合作的优质之选。</t>
  </si>
  <si>
    <t>段子、颜值</t>
  </si>
  <si>
    <t>https://v.douyin.com/bwEB4nNFwkw/</t>
  </si>
  <si>
    <t>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</t>
  </si>
  <si>
    <t>7021345477824086023</t>
  </si>
  <si>
    <t>快手 视频号</t>
  </si>
  <si>
    <t>男 ：30.7%
女 ：69.3%</t>
  </si>
  <si>
    <t>18-23：40.2%
24-30：34.1%
31-40：20.3%</t>
  </si>
  <si>
    <t>Z世代：23.3%
新锐白领：18.7%
小镇青年：38.2%
精致妈妈：5.6%
资深中产：1.8%
都市蓝领：9.2%
小镇中老年：2.4%
都市银发：0.7%</t>
  </si>
  <si>
    <t>MAC、薇诺娜、欧莱雅、徕芬、花西子、美团</t>
  </si>
  <si>
    <t>成都
北京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</si>
  <si>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</si>
  <si>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</si>
  <si>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</si>
  <si>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</si>
  <si>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</si>
  <si>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</si>
  <si>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</si>
  <si>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男：20.4%
女：79.6%</t>
  </si>
  <si>
    <t>18-23：45%
24-30：15.3%
31-40：18.4%</t>
  </si>
  <si>
    <t>Z世代：47.7%
新锐白领：6.2%
小镇青年：25.9%
精致妈妈：2.1%
资深中产：1.3%
都市蓝领：10.3%
小镇中老年：3.3%
都市银发：3.1%</t>
  </si>
  <si>
    <t>usmile、麦当劳、淘宝、可爱多、林里柠檬茶、脉动、芬达、美团、肯德基、蒙牛、元宝、华为、Olay、霸王茶姬</t>
  </si>
  <si>
    <t>孙博士讲英语</t>
  </si>
  <si>
    <t>于2010年博士毕业。从2005年开始英语教学，20年英语教学经验。用讲段子的方式让大家熟练掌握英语的运用。沟通配合度高，创意能力出众，能完美契合客户需求。</t>
  </si>
  <si>
    <t>danshuisihan</t>
  </si>
  <si>
    <t>https://v.douyin.com/bHqAlsCKcIw/</t>
  </si>
  <si>
    <t>https://www.xingtu.cn/ad/creator/author-homepage/douyin-video/7548699303942832174?market_track_id=A1GVOKQQEDPMPOB3NZJQ&amp;search_session_id=7567378003446431795&amp;possessStarId</t>
  </si>
  <si>
    <t>7548699303942832174</t>
  </si>
  <si>
    <t>视频号 小红书 快手</t>
  </si>
  <si>
    <t>男 ：27.5%
女 ：72.5%</t>
  </si>
  <si>
    <t>18-23：5.7%
24-30：23.3%
31-40：52.4%</t>
  </si>
  <si>
    <t>z世代：4.3%
小镇青年：21.7%
精致妈妈：19.4%
新锐白领：17.1%
都市蓝领：14.3%
小镇中老年：7.3%
资深中产：8.9%
都市银发：6.9%</t>
  </si>
  <si>
    <t>寒雪老师AI家教机、学丞教育</t>
  </si>
  <si>
    <t>长春</t>
  </si>
  <si>
    <t>张九九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</si>
  <si>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</si>
  <si>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</si>
  <si>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</si>
  <si>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</si>
  <si>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</si>
  <si>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男：72.9%
女：27.1%</t>
  </si>
  <si>
    <t>18-23：26.7%
24-30：28.5%
31-40：29%</t>
  </si>
  <si>
    <t>Z世代：20%
新锐白领：20.4%
小镇青年：22.3%
精致妈妈：3.5%
资深中产：3.2%
都市蓝领：18.5%
小镇中老年：6.5%
都市银发：5.6%</t>
  </si>
  <si>
    <t>豆包app、百加得、RIO、书亦烧仙草、百利得、雪碧、果汁源、KKV、小郎酒、元气森林、百加得、劲酒、美的、Prada、vivo</t>
  </si>
  <si>
    <t>长沙</t>
  </si>
  <si>
    <t>歪老板在干嘛？</t>
  </si>
  <si>
    <t>泛生活领域优质创作者，高赞作品达20.8万赞。内容聚焦日常互动，风格鲜活接地气，与“老辈子”的趣味互动极具记忆点。粉丝粘性强，适配快消、家居等多类生活场景品牌，转化潜力可观。</t>
  </si>
  <si>
    <t>https://v.douyin.com/X59bTLxsw30/</t>
  </si>
  <si>
    <t>https://www.xingtu.cn/ad/creator/author-homepage/douyin-video/7407743938431287347?market_track_id=6VJJY5F6E3FS3YS952O9&amp;search_session_id=7566145823580274730&amp;possessStarId</t>
  </si>
  <si>
    <t>7407743938431287347</t>
  </si>
  <si>
    <t>男：85.1%
女：14.9%</t>
  </si>
  <si>
    <t>18-23：34.9%
24-30：30.4%
31-40：24.1%</t>
  </si>
  <si>
    <t>Z世代：24.4%
新锐白领：17.3%
小镇青年：23.4%
精致妈妈：0.8%
资深中产：2.5%
都市蓝领：24.5%
小镇中老年：3.7%
都市银发：3.4%</t>
  </si>
  <si>
    <t>重庆啤酒、永辉超市、三国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</si>
  <si>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</si>
  <si>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</si>
  <si>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</si>
  <si>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</si>
  <si>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</si>
  <si>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</si>
  <si>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</si>
  <si>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男：51.4%
女：48.6%</t>
  </si>
  <si>
    <t>24-30：16.3%
31-40：26%
41-50：35.8%</t>
  </si>
  <si>
    <t>Z世代：11.4%
新锐白领：16%
小镇青年：24.9%
精致妈妈：7%
资深中产：6.7%
都市蓝领：17.4%
小镇中老年：9.4%
都市银发：7.3%</t>
  </si>
  <si>
    <t>五粮液、郑州日产、长安汽车、圣酒玉玺、荣威、王者荣耀、瑞丽特干葡萄酒、金六福酒、食魂火锅底料、长虹、舍得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</si>
  <si>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</si>
  <si>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</si>
  <si>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</si>
  <si>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剧情、搞笑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</si>
  <si>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</si>
  <si>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</si>
  <si>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</si>
  <si>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男：48.1%
女：51.9%</t>
  </si>
  <si>
    <t>18-23：43.6%
24-30：25.2%
31-40：19.1%</t>
  </si>
  <si>
    <t>Z世代：32.1%
新锐白领：11.5%
小镇青年：26.2%
精致妈妈：4.3%
资深中产：1.6%
都市蓝领：16.7%
小镇中老年：4%
都市银发：3.7%</t>
  </si>
  <si>
    <t>蛋仔派对、新奇士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</si>
  <si>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</si>
  <si>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</si>
  <si>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</si>
  <si>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</si>
  <si>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</si>
  <si>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</si>
  <si>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：85.5%
女 ：14.5%</t>
  </si>
  <si>
    <t>18-23：39.8%
24-30：25.7%
31-40：20.6%</t>
  </si>
  <si>
    <t>Z世代：31.5%
新锐白领：16.8%
小镇青年：22.8%
精致妈妈：1.1%
资深中产：3.6%
都市蓝领：15.5%
小镇中老年：4.5%
都市银发：4.2%</t>
  </si>
  <si>
    <t>豆包APP、QCY耳机、转转、三国志、爱回收、逆水寒、58同城、永劫无间、时光大爆炸、偃武S3、九牧之野</t>
  </si>
  <si>
    <t>杰之爱ing</t>
  </si>
  <si>
    <t>用生活化的镜头捕捉祖孙间的趣味互动，既有接地气的家庭烟火气，又藏着戳中人心的温情笑点。粉丝黏性强，受众覆盖全年龄段，尤其打动注重亲情、喜爱治愈内容的用户。品牌植入自然不违和，能快速拉近与消费者的距离，实现高效转化！</t>
  </si>
  <si>
    <t>lyj2081009969</t>
  </si>
  <si>
    <t>https://v.douyin.com/UppQ41r130A/</t>
  </si>
  <si>
    <t>https://www.xingtu.cn/ad/creator/author-homepage/douyin-video/7421456107962368035?market_track_id=K01Z0FZ5DRR53BHT7OPI&amp;search_session_id=7582861478090899475&amp;possessStarId</t>
  </si>
  <si>
    <t>7421456107962368035</t>
  </si>
  <si>
    <t>昆明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</si>
  <si>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</si>
  <si>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</si>
  <si>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</si>
  <si>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</si>
  <si>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</si>
  <si>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</si>
  <si>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</si>
  <si>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男：42.6%   
女：57.4%</t>
  </si>
  <si>
    <t>18-23；60.3% 24-30；23.6% 31-40；11.1%</t>
  </si>
  <si>
    <t>Z世代：45.1%
新锐白领：15%
小镇青年：20.4%
精致妈妈：4.8%
资深中产：2.3%
都市蓝领：10.8%
小镇中老年：0.9%
都市银发：0.6%</t>
  </si>
  <si>
    <t>康师傅、乐堡啤酒、五菱宏光、华为、美年达、华为、智己、广汽埃安、海尔、苹果、百事可乐、迪士尼</t>
  </si>
  <si>
    <t>晨晓义</t>
  </si>
  <si>
    <t>堪称生活中的 “幽默核弹”，总能从情侣间的平凡日常里挖掘出令人捧腹的笑点。内容覆盖“搞笑+甜蜜”双线。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</si>
  <si>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</si>
  <si>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</si>
  <si>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</si>
  <si>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男：79.1%
女：20.9%</t>
  </si>
  <si>
    <t>18-23：12.3%
24-30：26.7%
31-40：39.3%</t>
  </si>
  <si>
    <t>Z世代：8.7%
新锐白领：32%
小镇青年：21.5%
精致妈妈：2.7%
资深中产：8.8%
都市蓝领：10.8%
小镇中老年：8.5%
都市银发：6.9%</t>
  </si>
  <si>
    <t>得物、肯德基、荣威、广汽丰田、吉列剃须刀、小奥汀、膜法世家、DNF、美团、传祺、smart、别克、沱牌、乐事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</si>
  <si>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</si>
  <si>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</si>
  <si>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</si>
  <si>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</si>
  <si>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</si>
  <si>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</si>
  <si>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</si>
  <si>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男：42.8%
女：57.2%</t>
  </si>
  <si>
    <t>18-23：26.7%
24-30：26.3%
31-40：32.5%</t>
  </si>
  <si>
    <t>Z世代：21.7%
新锐白领：14.2%
小镇青年：25.9%
精致妈妈：5.5%
资深中产：4.1%
都市蓝领：19.7%
小镇中老年：5.4%
都市银发：3.5%</t>
  </si>
  <si>
    <t>京东、雪佛兰、大众、乐事、伊利、徕芬、松下、欧莱雅、华为、赫莲娜、伊利金典、海尔、北汽、东风日产、岚图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</si>
  <si>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</si>
  <si>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</si>
  <si>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</si>
  <si>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</si>
  <si>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</si>
  <si>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</si>
  <si>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</si>
  <si>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：56%  
男 ：44%</t>
  </si>
  <si>
    <t>18-23：69%
24-30：14.7%
31-40：8.6%</t>
  </si>
  <si>
    <t>Z世代：57.2%
新锐白领：4.4%
小镇青年：27.8%
精致妈妈：1.3%
资深中产：0.6%
都市蓝领：7.1%
小镇中老年：1%
都市银发：0.6%</t>
  </si>
  <si>
    <t>优思明、杜蕾斯、可颂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</si>
  <si>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</si>
  <si>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</si>
  <si>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</si>
  <si>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</si>
  <si>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</si>
  <si>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</si>
  <si>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</si>
  <si>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</si>
  <si>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男：75.3%
女：24.7%</t>
  </si>
  <si>
    <t>18-23：34.6%
24-30：24.6%
31-40：23.8%</t>
  </si>
  <si>
    <t>Z世代：34.2%
新锐白领：17.1%
小镇青年：22.5%
精致妈妈：2.3%
资深中产：3.1%
都市蓝领：13.3%
小镇中老年：3.9%
都市银发：3.6%</t>
  </si>
  <si>
    <t>伊利、东风纳米、荣威、碧欧泉、吉列、林肯汽车、阿维塔11、长安深蓝、比亚迪、妮维雅、蕉内、奇瑞icar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</si>
  <si>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</si>
  <si>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</si>
  <si>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</si>
  <si>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</si>
  <si>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</si>
  <si>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</si>
  <si>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男：88.7%
女：11.3%</t>
  </si>
  <si>
    <t>18-23：30.4%
24-30：43.9%
31-40：22.1%</t>
  </si>
  <si>
    <t>Z世代：15.8%
新锐白领：40.7%
小镇青年：19.7%
精致妈妈：1.4%
资深中产：2.7%
都市蓝领：17.5%
小镇中老年：1.3%
都市银发：1%</t>
  </si>
  <si>
    <t>RIO、大话西游、长安幻想、绵阳方特、和成天下、沱牌舍得、岚图、得物、东风日产、哈弗、</t>
  </si>
  <si>
    <t>吕飞</t>
  </si>
  <si>
    <t>轻熟男精致日常，主打“厅式穿搭”与生活随拍，内容兼具质感与共鸣，爆款频出。擅长通过剧情化表达种草商务男装、品质好物，曾合作雅戈尔、贵州习酒等品牌。粉丝粘性强、转化高效，是品牌破圈传播的优选合作对象。</t>
  </si>
  <si>
    <t>https://v.douyin.com/z7JKhSGLHj4/</t>
  </si>
  <si>
    <t>https://www.xingtu.cn/ad/creator/author-homepage/douyin-video/7072935851847581734?market_track_id=LDXVS0SXIARWO5W865W2&amp;search_session_id=7583963797183758342&amp;possessStarId</t>
  </si>
  <si>
    <t>7072935851847581734</t>
  </si>
  <si>
    <t>视频号微博</t>
  </si>
  <si>
    <t>男：61.2%
女：38.8%</t>
  </si>
  <si>
    <t>18-23：43%
24-30：33.8%
31-40：19.3%</t>
  </si>
  <si>
    <t>Z世代：27.7%
新锐白领：23%
小镇青年：21.6%
精致妈妈：5.1%
资深中产：2%
都市蓝领：18.4%
小镇中老年：1.3%
都市银发：0.8%</t>
  </si>
  <si>
    <t>九牧王、水井坊、华为、蔚来</t>
  </si>
  <si>
    <t>黄星桥</t>
  </si>
  <si>
    <t>「电子闺蜜」系vlogger，镜头真实不造作。分享宅家治愈时光、探店觅食与好友互怼瞬间。用松弛感镜头记录平凡生活里的小确幸，主打真实陪伴与情绪共鸣，用松弛感风格自然植入好物，原生种草力突出。</t>
  </si>
  <si>
    <t>1999_11_3</t>
  </si>
  <si>
    <t>日常、vlog</t>
  </si>
  <si>
    <t>https://v.douyin.com/KeTRN28g1m0/</t>
  </si>
  <si>
    <t>https://www.xingtu.cn/ad/creator/author-homepage/douyin-video/7326903080321024010?market_track_id=4ED161GP8MO20S4OQWX6&amp;search_session_id=7593255005709598774&amp;possessStarId</t>
  </si>
  <si>
    <t>7326903080321024010</t>
  </si>
  <si>
    <t>元贞爱亨利</t>
  </si>
  <si>
    <t>泛生活领域创作者，粉丝量达17.39万，点赞量超259.6万。其视频以生活随拍为主，内容真实有趣，能自然融入广告产品。曾有多条视频点赞量破万，合作性价比高，适合各类生活、消费类品牌进行推广。</t>
  </si>
  <si>
    <t>日常、随拍</t>
  </si>
  <si>
    <t>https://v.douyin.com/YPNJaozIgqY/</t>
  </si>
  <si>
    <t>https://www.xingtu.cn/ad/creator/author-homepage/douyin-video/7530268826995261481?market_track_id=AFYCHK8E6RNNZI1D3OYX&amp;search_session_id=7560902726126403620&amp;possessStarId</t>
  </si>
  <si>
    <t>7530268826995261481</t>
  </si>
  <si>
    <t>男：18.1%
女：81.9%</t>
  </si>
  <si>
    <t>18-23：47.3%
24-30：23.7%
31-40：17.3%</t>
  </si>
  <si>
    <t>Z世代：42.4%
新锐白领：12.5%
小镇青年：26.1%
精致妈妈：3.8%
资深中产：1.8%
都市蓝领：9.7%
小镇中老年：2.4%
都市银发：1.4%</t>
  </si>
  <si>
    <t>转转、冠能、白惜牙膏、杨先生麻花、润培、德祐、诚实一口、友望、美团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</si>
  <si>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</si>
  <si>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</si>
  <si>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</si>
  <si>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</si>
  <si>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</si>
  <si>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</si>
  <si>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</si>
  <si>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：80.6%
女 ：19.4%</t>
  </si>
  <si>
    <t>18-23：15.5%
24-30：35.9%
31-40：35.4%</t>
  </si>
  <si>
    <t>z世代：6.7%
小镇青年：25%
精致妈妈：3.8%
新锐白领：30.3%
都市蓝领：17.8%
小镇中老年：5.5%
资深中产：6.5%
都市银发：4.3%</t>
  </si>
  <si>
    <t>太太乐、爱他美、奇骏、TATA木门、石头、问界、劲酒、万家乐、奇骏、全友家私、滴滴、威猛先生、哈弗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</si>
  <si>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</si>
  <si>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</si>
  <si>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</si>
  <si>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</si>
  <si>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</si>
  <si>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</si>
  <si>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</si>
  <si>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男：65.9%
女：34.1%</t>
  </si>
  <si>
    <t>18-23：22.9%
24-30：21%
31-40：33%</t>
  </si>
  <si>
    <t>Z世代：22.1%
新锐白领：14.9%
小镇青年：23.9%
精致妈妈：3.2%
资深中产：5.5%
都市蓝领：16%
小镇中老年：7.8%
都市银发：6.6%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</si>
  <si>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</si>
  <si>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</si>
  <si>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</si>
  <si>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</si>
  <si>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</si>
  <si>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</si>
  <si>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</si>
  <si>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男：71.3%
女：28.7%</t>
  </si>
  <si>
    <t>18-23：64.3%
24-30：16.3%
31-40：10%</t>
  </si>
  <si>
    <t>Z世代：57.9%
新锐白领：7.1%
小镇青年：23.7%
精致妈妈：0.5%
资深中产：0.9%
都市蓝领：8%
小镇中老年：1%
都市银发：0.8%</t>
  </si>
  <si>
    <t>珂拉琪、intoyou、蕉点、mistine、HBN、明治、肌活</t>
  </si>
  <si>
    <t>【亲子】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</si>
  <si>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</si>
  <si>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</si>
  <si>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</si>
  <si>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</si>
  <si>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</si>
  <si>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</si>
  <si>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</si>
  <si>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男：36.1%
女：63.9%</t>
  </si>
  <si>
    <t>18-23：12.5%
24-30：23%
31-40：38.4%</t>
  </si>
  <si>
    <t>Z世代：10.8%
新锐白领：11.6%
小镇青年：22.9%
精致妈妈：10.1%
资深中产：4.1%
都市蓝领：20.3%
小镇中老年：9.6%
都市银发：10.8%</t>
  </si>
  <si>
    <t>美素佳儿、完达山、爱他美、蒙牛、长安欧尚、松下、荣威、极狐、法优乐、岚图</t>
  </si>
  <si>
    <t>彩虹和格格</t>
  </si>
  <si>
    <t>聚焦平等自由的亲子成长，记录“不鸡娃”的快乐日常。凭借真实接地气的互动、积极正能量的调性，圈粉海量宝妈及亲子群体。内容覆盖母婴好物、亲子穿搭与成长干货，粉丝粘性强、信任度高，适配母婴用品、家居日用、亲子消费等场景，转化潜力突出。</t>
  </si>
  <si>
    <t>Chmama</t>
  </si>
  <si>
    <t>亲子、生活</t>
  </si>
  <si>
    <t>https://v.douyin.com/oc0iSkp3I-Y/</t>
  </si>
  <si>
    <t>https://www.xingtu.cn/ad/creator/author-homepage/douyin-video/6870112228712923144?market_track_id=I0U981DWX92MXI5VN9S6&amp;search_session_id=7597722299365965878&amp;possessStarId</t>
  </si>
  <si>
    <t>6870112228712923144</t>
  </si>
  <si>
    <t>【运动】</t>
  </si>
  <si>
    <t>大圣爱跑步</t>
  </si>
  <si>
    <t>运动领域垂直KOL，有大量精准跑友粉丝，核心聚焦马拉松赛事与训练干货。“大圣”人设鲜明，兼具专业性与感染力，粉丝以年轻群体为主，付费意愿强。内容场景适配运动装备、营养补给、城市文旅等品类，植入自然不违和，是高转化、强共鸣的优质合作选择。</t>
  </si>
  <si>
    <t>运动、日常</t>
  </si>
  <si>
    <t>https://v.douyin.com/Wd-9v46EwOo/</t>
  </si>
  <si>
    <t>https://www.xingtu.cn/ad/creator/author-homepage/douyin-video/7437412455573094438?market_track_id=OZDXFB6LRY6IARAR1ZJR&amp;search_session_id=7577287979769987108&amp;possessStarId</t>
  </si>
  <si>
    <t>7437412455573094438</t>
  </si>
  <si>
    <t>男：52.8%
女：47.2%</t>
  </si>
  <si>
    <t>24-30：15.2%
31-40：34.5%   50+：32.2%</t>
  </si>
  <si>
    <t>小镇青年：22.6%
都市银发：17.4%
都市蓝领：19.3%
小镇中老年：15.6%
z世代：13.4%
新锐白领：6.2%
资深中产：3.4%
精致妈妈：2.2%</t>
  </si>
  <si>
    <t>乌鲁木齐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</si>
  <si>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</si>
  <si>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</si>
  <si>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</si>
  <si>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</si>
  <si>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</si>
  <si>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</si>
  <si>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</si>
  <si>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</si>
  <si>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男：72.3%   
女：27.7%</t>
  </si>
  <si>
    <t>18-23：18.4%
24-30：27.1%
31-40：37.1%</t>
  </si>
  <si>
    <t>Z世代：16.3%
新锐白领：20.7%
小镇青年：24.3%
精致妈妈：2.8%
资深中产：4.2%
都市蓝领：18.2%
小镇中老年：6.8%
都市银发：6.7%</t>
  </si>
  <si>
    <t>YSL、京东、PUMA、Adidas、逆水寒、饿了么、维他命水、梦幻西游、百事可乐、德克士、酷儿。百雀羚、岚图、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</si>
  <si>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</si>
  <si>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</si>
  <si>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</si>
  <si>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颜值、舞蹈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</si>
  <si>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</si>
  <si>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</si>
  <si>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</si>
  <si>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男：57.5%
女：42.5%</t>
  </si>
  <si>
    <t>18-23：47.1%
24-30：31.9%
31-40：17.2%</t>
  </si>
  <si>
    <t>Z世代：31.2%
新锐白领：21.5%
小镇青年：24.4%
精致妈妈：2.1%
资深中产：1.7%
都市蓝领：17.2%
小镇中老年：1.1%
都市银发：0.6%</t>
  </si>
  <si>
    <t>逆水寒、海尔、三国</t>
  </si>
  <si>
    <t>鹿儿er</t>
  </si>
  <si>
    <t>甜萌舞力少女，灵动俏皮似邻家，无缝接轨服饰美妆游戏圈，魅力破圈，未来无限。</t>
  </si>
  <si>
    <t>Yaya55688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</si>
  <si>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</si>
  <si>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</si>
  <si>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</si>
  <si>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男：83.3%
女：16.7%</t>
  </si>
  <si>
    <t>18-23：36.6%
24-30：33.8%
31-40：20.1%</t>
  </si>
  <si>
    <t>Z世代：21.9%
新锐白领：17.8%
小镇青年：25.8%
精致妈妈：1.6%
资深中产：1.8%
都市蓝领：22.2%
小镇中老年：4.3%
都市银发：4.6%</t>
  </si>
  <si>
    <t>最美天气贴纸、水井坊、洋河、特步、MG7、梦幻西游、伊利、传祺、王者荣耀、长城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</si>
  <si>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</si>
  <si>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</si>
  <si>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</si>
  <si>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</si>
  <si>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</si>
  <si>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</si>
  <si>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</si>
  <si>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</si>
  <si>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男：93.3%
女：6.7%</t>
  </si>
  <si>
    <t>18-23：8.8%
24-30：26.2%
31-40：46.8%</t>
  </si>
  <si>
    <t>Z世代：4.4%
新锐白领：30.6%
小镇青年：20.5%
精致妈妈：1.2%
资深中产：9.8%
都市蓝领：20.7%
小镇中老年：7.9%
都市银发：4.9%</t>
  </si>
  <si>
    <t>去哪儿、好莱客、埃安、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</si>
  <si>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</si>
  <si>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</si>
  <si>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</si>
  <si>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</si>
  <si>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</si>
  <si>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</si>
  <si>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男：83.9%
女：16.1%</t>
  </si>
  <si>
    <t>18-23：26.5%
24-30：31.7%
31-40：28%</t>
  </si>
  <si>
    <t>Z世代：16.5%
新锐白领：19.2%
小镇青年：25.8%
精致妈妈：2.1%
资深中产：4.2%
都市蓝领：21.5%
小镇中老年：6.3%
都市银发：4.6%</t>
  </si>
  <si>
    <t>网易、探探、ulike、逆水寒、和平精英、时光杂货店、燕京啤酒、埃安、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</si>
  <si>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</si>
  <si>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</si>
  <si>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</si>
  <si>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</si>
  <si>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</si>
  <si>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：18.1%  
男 ：81.9%</t>
  </si>
  <si>
    <t>18-23：59.9%
24-30：19.5%
31-40：12.9%</t>
  </si>
  <si>
    <t>Z世代：40.6%
新锐白领：10.6%
小镇青年：25.3%
精致妈妈：1.6%
资深中产：1.2%
都市蓝领：15.8%
小镇中老年：2.5%
都市银发：2.3%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</si>
  <si>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</si>
  <si>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</si>
  <si>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</si>
  <si>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</si>
  <si>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</si>
  <si>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</si>
  <si>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</si>
  <si>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男：24.2%
女：75.8%</t>
  </si>
  <si>
    <t>18-23：15%
24-30：17.8%
31-40：28.3%</t>
  </si>
  <si>
    <t>Z世代：11.4%
新锐白领：11%
小镇青年：16.9%
精致妈妈：8.7%
资深中产：6.7%
都市蓝领：11.8%
小镇中老年：3.2%
都市银发：18.7%</t>
  </si>
  <si>
    <t>柚竹、ulike、网易飞天舞、新奇士、恋与深空、长虹、百事可乐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</si>
  <si>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</si>
  <si>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</si>
  <si>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</si>
  <si>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</si>
  <si>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</si>
  <si>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</si>
  <si>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男：80.4%
女：19.6%</t>
  </si>
  <si>
    <t>18-23：30.4%
24-30：27.5%
31-40：27.7%</t>
  </si>
  <si>
    <t>Z世代：30.1%
新锐白领：15.3%
小镇青年：25.1%
精致妈妈：1.4%
资深中产：3.2%
都市蓝领：16.9%
小镇中老年：4.3%
都市银发：3.8%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</si>
  <si>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</si>
  <si>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</si>
  <si>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</si>
  <si>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</si>
  <si>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</si>
  <si>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</si>
  <si>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</si>
  <si>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：69.5%
女 ：30.5%</t>
  </si>
  <si>
    <t>18-23：27.4%
24-30：35.1%
31-40：28.6%</t>
  </si>
  <si>
    <t>Z世代：16.3%
新锐白领：24.1%
小镇青年：23.9%
精致妈妈：3.9%
资深中产：3.1%
都市蓝领：21.7%
小镇中老年：3.6%
都市银发：3.4%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</si>
  <si>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</si>
  <si>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</si>
  <si>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</si>
  <si>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</si>
  <si>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</si>
  <si>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</si>
  <si>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</si>
  <si>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</si>
  <si>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</si>
  <si>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</si>
  <si>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</si>
  <si>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</si>
  <si>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</si>
  <si>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变装</t>
  </si>
  <si>
    <t>刀小刀sama</t>
  </si>
  <si>
    <t>超头部颜值达人</t>
  </si>
  <si>
    <t>xxx_One1</t>
  </si>
  <si>
    <t>颜值、变装</t>
  </si>
  <si>
    <t>https://v.douyin.com/EoRCNC/</t>
  </si>
  <si>
    <t>阿玛尼、OLAY、乌苏、伊利、VIVO、波司登、、凯迪拉克、哈弗、东风日产</t>
  </si>
  <si>
    <t>Sheep羊崽</t>
  </si>
  <si>
    <t>来自医学院的帅气少年</t>
  </si>
  <si>
    <t>https://v.douyin.com/F52xKBj/</t>
  </si>
  <si>
    <t>小米、云南白药</t>
  </si>
  <si>
    <t>徐三柒</t>
  </si>
  <si>
    <t>多元题材的剧情达人</t>
  </si>
  <si>
    <t>xusan777</t>
  </si>
  <si>
    <t>https://v.douyin.com/bmOwXBxZVL0/</t>
  </si>
  <si>
    <t>淘淘氧棉、膜法世家、</t>
  </si>
  <si>
    <t>管家小葛</t>
  </si>
  <si>
    <t>专注分享职业生活与心得</t>
  </si>
  <si>
    <t>butleralexge</t>
  </si>
  <si>
    <t>https://v.douyin.com/i5WxXkUV/</t>
  </si>
  <si>
    <t>深蓝、华为、英菲尼迪</t>
  </si>
  <si>
    <t>杭州/国外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</si>
  <si>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</si>
  <si>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</si>
  <si>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</si>
  <si>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</si>
  <si>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</si>
  <si>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</si>
  <si>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</si>
  <si>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</si>
  <si>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</si>
  <si>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</si>
  <si>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</si>
  <si>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</si>
  <si>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</si>
  <si>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</si>
  <si>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</si>
  <si>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</si>
  <si>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</si>
  <si>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</si>
  <si>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</si>
  <si>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</si>
  <si>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</si>
  <si>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</si>
  <si>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</si>
  <si>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</si>
  <si>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</si>
  <si>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</si>
  <si>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</si>
  <si>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</si>
  <si>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</si>
  <si>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</si>
  <si>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</si>
  <si>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</si>
  <si>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</si>
  <si>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</si>
  <si>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</si>
  <si>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</si>
  <si>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</si>
  <si>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</si>
  <si>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</si>
  <si>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</si>
  <si>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</si>
  <si>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</si>
  <si>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</si>
  <si>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</si>
  <si>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摄影</t>
  </si>
  <si>
    <t>周星辰_</t>
  </si>
  <si>
    <t>摄影艺术 生活分享 旅行生活</t>
  </si>
  <si>
    <t>antizwt</t>
  </si>
  <si>
    <t>摄影 旅行</t>
  </si>
  <si>
    <t>https://v.douyin.com/vEFkVURsq8c/</t>
  </si>
  <si>
    <t>荣耀、三星、极氪、领克、波司登、CK、阿玛尼、360</t>
  </si>
  <si>
    <t>TVC</t>
  </si>
  <si>
    <t>不知名周导</t>
  </si>
  <si>
    <t>7年纪录片导演 | 多平台特约导演</t>
  </si>
  <si>
    <t>1040691754v</t>
  </si>
  <si>
    <t>https://v.douyin.com/otyMvGOVt44/</t>
  </si>
  <si>
    <t>极氪、长隆、YSL、别克昂科威</t>
  </si>
  <si>
    <t>财经</t>
  </si>
  <si>
    <t>朴素之道</t>
  </si>
  <si>
    <t>看看真实世界的游戏规则； 聊聊学习成长与孩子教育。</t>
  </si>
  <si>
    <t>pusucaijing</t>
  </si>
  <si>
    <t>https://v.douyin.com/b6GOMqiezVg/</t>
  </si>
  <si>
    <t>瑷尔博士、舒适达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</si>
  <si>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</si>
  <si>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</si>
  <si>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</si>
  <si>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</si>
  <si>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</si>
  <si>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</si>
  <si>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</si>
  <si>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艺术文化</t>
  </si>
  <si>
    <t>王小明</t>
  </si>
  <si>
    <t>从探索山川 到科技指南</t>
  </si>
  <si>
    <t>Dili001</t>
  </si>
  <si>
    <t>https://v.douyin.com/NecqtmzI3XI/</t>
  </si>
  <si>
    <t>人类知识采集员</t>
  </si>
  <si>
    <t>关于人类的冷知识</t>
  </si>
  <si>
    <t>zhishi001</t>
  </si>
  <si>
    <t>https://v.douyin.com/8oBw_hRyLHk/</t>
  </si>
  <si>
    <t>时尚</t>
  </si>
  <si>
    <t>时髦精Serena</t>
  </si>
  <si>
    <t>让你有亿点上头的女人</t>
  </si>
  <si>
    <t>serena_butanbei</t>
  </si>
  <si>
    <t>时尚解说</t>
  </si>
  <si>
    <t>https://v.douyin.com/ye9b2f5Zxfo/</t>
  </si>
  <si>
    <t>测评</t>
  </si>
  <si>
    <t>地球村讲解员</t>
  </si>
  <si>
    <t>来认识地球，告诉你不一样的地球冷知识</t>
  </si>
  <si>
    <t>shutan001</t>
  </si>
  <si>
    <t>科技数码</t>
  </si>
  <si>
    <t>https://v.douyin.com/7MUzLKw2aDs/</t>
  </si>
  <si>
    <t>奇瑞、五菱、华为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</si>
  <si>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</si>
  <si>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</si>
  <si>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</si>
  <si>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</si>
  <si>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</si>
  <si>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</si>
  <si>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</si>
  <si>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</si>
  <si>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</si>
  <si>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</si>
  <si>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</si>
  <si>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</si>
  <si>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</si>
  <si>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</si>
  <si>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</si>
  <si>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</si>
  <si>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</si>
  <si>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</si>
  <si>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</si>
  <si>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</si>
  <si>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</si>
  <si>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</si>
  <si>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</si>
  <si>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</si>
  <si>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</si>
  <si>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</si>
  <si>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</si>
  <si>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</si>
  <si>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</si>
  <si>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木 木</t>
  </si>
  <si>
    <t>情侣账号女主角，颜值类达人，适合行业：美妆、服饰、游戏等</t>
  </si>
  <si>
    <t>satrll</t>
  </si>
  <si>
    <t>https://v.douyin.com/iM2BnUWc/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</si>
  <si>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</si>
  <si>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</si>
  <si>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</si>
  <si>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</si>
  <si>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</si>
  <si>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</si>
  <si>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</si>
  <si>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</si>
  <si>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</si>
  <si>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</si>
  <si>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</si>
  <si>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河南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</si>
  <si>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</si>
  <si>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</si>
  <si>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</si>
  <si>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</si>
  <si>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</si>
  <si>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</si>
  <si>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</si>
  <si>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</si>
  <si>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</si>
  <si>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</si>
  <si>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</si>
  <si>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</si>
  <si>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</si>
  <si>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</si>
  <si>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</si>
  <si>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</si>
  <si>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</si>
  <si>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</si>
  <si>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</si>
  <si>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</si>
  <si>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</si>
  <si>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</si>
  <si>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</si>
  <si>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</si>
  <si>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</si>
  <si>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</si>
  <si>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</si>
  <si>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</si>
  <si>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audrii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</si>
  <si>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</si>
  <si>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</si>
  <si>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</si>
  <si>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</si>
  <si>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</si>
  <si>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</si>
  <si>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</si>
  <si>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</si>
  <si>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</si>
  <si>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</si>
  <si>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</si>
  <si>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</si>
  <si>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</si>
  <si>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</si>
  <si>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</si>
  <si>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</si>
  <si>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</si>
  <si>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</si>
  <si>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</si>
  <si>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</si>
  <si>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</si>
  <si>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</si>
  <si>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</si>
  <si>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</si>
  <si>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</si>
  <si>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</si>
  <si>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</si>
  <si>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</si>
  <si>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</si>
  <si>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</si>
  <si>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</si>
  <si>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</si>
  <si>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</si>
  <si>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</si>
  <si>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</si>
  <si>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</si>
  <si>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</si>
  <si>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生活观察员｜用镜头捕捉日常里的小点滴｜用简单方式解锁生活乐趣</t>
  </si>
  <si>
    <t>日常/创意/剧情</t>
  </si>
  <si>
    <t>https://www.xiaohongshu.com/user/profile/5988a08250c4b438e2221e0d</t>
  </si>
  <si>
    <t>https://pgy.xiaohongshu.com/solar/pre-trade/blogger-detail/5988a08250c4b438e2221e0d?track_id=kolSearch_968f0410d7154a91a274acdd686dea65&amp;source=Advertiser_Kol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</si>
  <si>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</si>
  <si>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</si>
  <si>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</si>
  <si>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</si>
  <si>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</si>
  <si>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飞飞LF</t>
  </si>
  <si>
    <t>短剧演员 | 独居生活 | 城市探店</t>
  </si>
  <si>
    <t>日常/探店/剧情</t>
  </si>
  <si>
    <t>https://www.xiaohongshu.com/user/profile/5f685cfe0000000001007dcb</t>
  </si>
  <si>
    <t>https://pgy.xiaohongshu.com/solar/pre-trade/blogger-detail/5f685cfe0000000001007dcb?track_id=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</si>
  <si>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</si>
  <si>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</si>
  <si>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</si>
  <si>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</si>
  <si>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星了个星</t>
  </si>
  <si>
    <t>日常唠嗑吐槽+沙雕情景剧</t>
  </si>
  <si>
    <t>日常/随拍/分享</t>
  </si>
  <si>
    <t>商丘</t>
  </si>
  <si>
    <t>https://xhslink.com/m/9bw3tqf40tn</t>
  </si>
  <si>
    <t>https://pgy.xiaohongshu.com/solar/pre-trade/blogger-detail/611d15d0000000000100ad88?track_id=kolSearch_417f4eb217844f4c9e144f13e6dea512&amp;source=Advertiser_Kol</t>
  </si>
  <si>
    <t>小雪日记（初夏版）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</si>
  <si>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</si>
  <si>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</si>
  <si>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</si>
  <si>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</si>
  <si>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</si>
  <si>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</si>
  <si>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</si>
  <si>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</si>
  <si>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</si>
  <si>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</si>
  <si>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</si>
  <si>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</si>
  <si>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</si>
  <si>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</si>
  <si>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</si>
  <si>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</si>
  <si>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</si>
  <si>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</si>
  <si>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</si>
  <si>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</si>
  <si>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</si>
  <si>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</si>
  <si>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</si>
  <si>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</si>
  <si>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</si>
  <si>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</si>
  <si>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</si>
  <si>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</si>
  <si>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</si>
  <si>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</si>
  <si>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</si>
  <si>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</si>
  <si>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</si>
  <si>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</si>
  <si>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</si>
  <si>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</si>
  <si>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nv张九九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</si>
  <si>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</si>
  <si>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</si>
  <si>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</si>
  <si>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</si>
  <si>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</si>
  <si>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</si>
  <si>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</si>
  <si>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</si>
  <si>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</si>
  <si>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</si>
  <si>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</si>
  <si>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</si>
  <si>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</si>
  <si>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Lorinaxxq4687</t>
  </si>
  <si>
    <t>时尚/vlog/拍照/探店</t>
  </si>
  <si>
    <t>https://xhslink.com/m/1X5PzJxj7OU</t>
  </si>
  <si>
    <t>💓忘崽夫妇-睿睿和斌斌的日记本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</si>
  <si>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</si>
  <si>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</si>
  <si>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</si>
  <si>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</si>
  <si>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Q秦文龙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</si>
  <si>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</si>
  <si>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</si>
  <si>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</si>
  <si>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</si>
  <si>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</si>
  <si>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</si>
  <si>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</si>
  <si>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</si>
  <si>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</si>
  <si>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</si>
  <si>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</si>
  <si>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</si>
  <si>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</si>
  <si>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</si>
  <si>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t>深耕复古港风+新中式美学</t>
  </si>
  <si>
    <t>贵阳</t>
  </si>
  <si>
    <t>https://www.xiaohongshu.com/user/profile/5abb4021e8ac2b7f7e18a76c</t>
  </si>
  <si>
    <t>https://pgy.xiaohongshu.com/solar/pre-trade/blogger-detail/5abb4021e8ac2b7f7e18a76c?track_id=kolSearch_91b40460324143b6abd7c0914a1118ed&amp;source=Advertiser_Kol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</si>
  <si>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</si>
  <si>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</si>
  <si>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</si>
  <si>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</si>
  <si>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</si>
  <si>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</si>
  <si>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</si>
  <si>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</si>
  <si>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</si>
  <si>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</si>
  <si>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</si>
  <si>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</si>
  <si>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</si>
  <si>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</si>
  <si>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</si>
  <si>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</si>
  <si>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</si>
  <si>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</si>
  <si>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</si>
  <si>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</si>
  <si>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</si>
  <si>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</si>
  <si>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</si>
  <si>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</si>
  <si>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</si>
  <si>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</si>
  <si>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</si>
  <si>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</si>
  <si>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</si>
  <si>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</si>
  <si>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</si>
  <si>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11387762825</t>
  </si>
  <si>
    <t>舞蹈 |传统文化 |古风</t>
  </si>
  <si>
    <t>舞蹈/传统文化/古风</t>
  </si>
  <si>
    <t>https://www.xiaohongshu.com/user/profile/664b850500000000070048eb</t>
  </si>
  <si>
    <t>https://pgy.xiaohongshu.com/solar/pre-trade/blogger-detail/664b850500000000070048eb?track_id=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</si>
  <si>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</si>
  <si>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</si>
  <si>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</si>
  <si>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</si>
  <si>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</si>
  <si>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</si>
  <si>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</si>
  <si>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</si>
  <si>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</si>
  <si>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</si>
  <si>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</si>
  <si>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</si>
  <si>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</si>
  <si>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</si>
  <si>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</si>
  <si>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</si>
  <si>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</si>
  <si>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</si>
  <si>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</si>
  <si>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</si>
  <si>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</si>
  <si>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</si>
  <si>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</si>
  <si>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</si>
  <si>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</si>
  <si>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</si>
  <si>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</si>
  <si>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</si>
  <si>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</si>
  <si>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</si>
  <si>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</si>
  <si>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</si>
  <si>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</si>
  <si>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</si>
  <si>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</si>
  <si>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</si>
  <si>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</si>
  <si>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</si>
  <si>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</si>
  <si>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</si>
  <si>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</si>
  <si>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</si>
  <si>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</si>
  <si>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</si>
  <si>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</si>
  <si>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</si>
  <si>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【OST传媒】微信视频号报价</t>
  </si>
  <si>
    <t>账号类型</t>
  </si>
  <si>
    <t>微信视频账号</t>
  </si>
  <si>
    <t>视频号ID</t>
  </si>
  <si>
    <t>粉丝（W）</t>
  </si>
  <si>
    <t>视频号价格</t>
  </si>
  <si>
    <t>分发视频价格</t>
  </si>
  <si>
    <t>互选平台</t>
  </si>
  <si>
    <t>sphR3gl9H3agbmG</t>
  </si>
  <si>
    <t>已开通</t>
  </si>
  <si>
    <t>国舞宛庭</t>
  </si>
  <si>
    <t>sphRsMNnuSLmxSg</t>
  </si>
  <si>
    <t>刘焌棚-Rafael</t>
  </si>
  <si>
    <t>sphaFY5P2611uIW</t>
  </si>
  <si>
    <t>未开通</t>
  </si>
  <si>
    <t>靖雅欧巴呀</t>
  </si>
  <si>
    <t>sphhiYMMIbxt5nL</t>
  </si>
  <si>
    <t>sphdfmlxwLx9zZ1</t>
  </si>
  <si>
    <t>亲子</t>
  </si>
  <si>
    <t>sphu5HQJ7T1wcwr</t>
  </si>
  <si>
    <t>李里来了</t>
  </si>
  <si>
    <t>sphVegXTyvrzrKJ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</si>
  <si>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</si>
  <si>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</si>
  <si>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</si>
  <si>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</si>
  <si>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</si>
  <si>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</si>
  <si>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</si>
  <si>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</si>
  <si>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sphQaxOteNPshI4</t>
  </si>
  <si>
    <t>晨晓义很OK</t>
  </si>
  <si>
    <t>sph6zyxP3bQOA7v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</si>
  <si>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</si>
  <si>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</si>
  <si>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</si>
  <si>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</si>
  <si>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</si>
  <si>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</si>
  <si>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</si>
  <si>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娜扎分渣本人</t>
  </si>
  <si>
    <t>sphEQKg46c2KXih</t>
  </si>
  <si>
    <t>比格费西Bigfish</t>
  </si>
  <si>
    <t>sphzdj3iicSBAXx</t>
  </si>
  <si>
    <t>秦文龙wl</t>
  </si>
  <si>
    <t>sphFVx4zeCpblPc</t>
  </si>
  <si>
    <t>连蜜呀520a</t>
  </si>
  <si>
    <t>sphx39g8I8Js6pE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</si>
  <si>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</si>
  <si>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</si>
  <si>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</si>
  <si>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</si>
  <si>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</si>
  <si>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</si>
  <si>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</si>
  <si>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</si>
  <si>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</si>
  <si>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主页链接</t>
  </si>
  <si>
    <t>变装、剧情</t>
  </si>
  <si>
    <t>https://live.kuaishou.com/profile/3xi4apqvqnf7g7y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</si>
  <si>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</si>
  <si>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</si>
  <si>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</si>
  <si>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</si>
  <si>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</si>
  <si>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</si>
  <si>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剧情、段子</t>
  </si>
  <si>
    <t>https://v.kuaishou.com/nuLqSDG3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</si>
  <si>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</si>
  <si>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</si>
  <si>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</si>
  <si>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</si>
  <si>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</si>
  <si>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</si>
  <si>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</si>
  <si>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</si>
  <si>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</si>
  <si>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22000（分发）</t>
  </si>
  <si>
    <t>https://live.kuaishou.com/profile/zhousanshi0818</t>
  </si>
  <si>
    <t>丁啊叮dd</t>
  </si>
  <si>
    <t>https://live.kuaishou.com/profile/3xjjzysswd2hqqm</t>
  </si>
  <si>
    <t>音乐</t>
  </si>
  <si>
    <t>https://live.kuaishou.com/profile/bigefeixi</t>
  </si>
  <si>
    <t>颜值、小哥哥</t>
  </si>
  <si>
    <t>150000
（直播1h30000）</t>
  </si>
  <si>
    <t>https://live.kuaishou.com/profile/ygxdwl666</t>
  </si>
  <si>
    <t>颜值，变装</t>
  </si>
  <si>
    <t>https://live.kuaishou.com/profile/Xiaxia977</t>
  </si>
  <si>
    <t>https://live.kuaishou.com/profile/yihang112244</t>
  </si>
  <si>
    <t>https://live.kuaishou.com/profile/xrr888006</t>
  </si>
  <si>
    <t>https://v.kuaishou.com/kpTXgm</t>
  </si>
  <si>
    <t>https://live.kuaishou.com/profile/xxy1129xy</t>
  </si>
  <si>
    <t>嘿 黄锐铨</t>
  </si>
  <si>
    <t>https://live.kuaishou.com/profile/A77777774_</t>
  </si>
  <si>
    <t>洛丽塔大哥lo</t>
  </si>
  <si>
    <t>https://v.kuaishou.com/iTF8WX</t>
  </si>
  <si>
    <t>教培</t>
  </si>
  <si>
    <t>教培、段子</t>
  </si>
  <si>
    <t>https://v.kuaishou.com/JH0izg3N</t>
  </si>
  <si>
    <t>二次元</t>
  </si>
  <si>
    <t>小年Nian（导演，演员</t>
  </si>
  <si>
    <t>https://live.kuaishou.com/profile/Thesmallyear</t>
  </si>
  <si>
    <t>情侣</t>
  </si>
  <si>
    <t>晨晓义（解忧剧场）</t>
  </si>
  <si>
    <t>情侣、段子</t>
  </si>
  <si>
    <t>https://live.kuaishou.com/profile/KK13881688</t>
  </si>
  <si>
    <t>侯博</t>
  </si>
  <si>
    <t>https://v.kuaishou.com/KIJDmKoP</t>
  </si>
  <si>
    <t>北京
成都</t>
  </si>
  <si>
    <t>https://v.kuaishou.com/JfESauIY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</si>
  <si>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</si>
  <si>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</si>
  <si>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</si>
  <si>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</si>
  <si>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</si>
  <si>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</si>
  <si>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</si>
  <si>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</si>
  <si>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</si>
  <si>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</si>
  <si>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</si>
  <si>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</si>
  <si>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</si>
  <si>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</si>
  <si>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</si>
  <si>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</si>
  <si>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</si>
  <si>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</si>
  <si>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</si>
  <si>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</si>
  <si>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</si>
  <si>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</si>
  <si>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</si>
  <si>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</si>
  <si>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</si>
  <si>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</si>
  <si>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</si>
  <si>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</si>
  <si>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</si>
  <si>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</si>
  <si>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</si>
  <si>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</si>
  <si>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【OST传媒】懂车帝达人报价</t>
  </si>
  <si>
    <t>懂车帝账号</t>
  </si>
  <si>
    <t>懂车帝价格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</si>
  <si>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</si>
  <si>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</si>
  <si>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</si>
  <si>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</si>
  <si>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</si>
  <si>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</si>
  <si>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</si>
  <si>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</si>
  <si>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</si>
  <si>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</si>
  <si>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</si>
  <si>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</si>
  <si>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</si>
  <si>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刘欣悦🎤</t>
  </si>
  <si>
    <t>liuxinyueaichang</t>
  </si>
  <si>
    <t>音乐、翻唱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</si>
  <si>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</si>
  <si>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</si>
  <si>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</si>
  <si>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韦康vico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</si>
  <si>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</si>
  <si>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</si>
  <si>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</si>
  <si>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</si>
  <si>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科颜氏、雅诗兰黛、自然堂、HBN、广汽丰田、吉利、梦幻新诛仙、安慕希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</si>
  <si>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</si>
  <si>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</si>
  <si>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</si>
  <si>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</si>
  <si>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</si>
  <si>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</si>
  <si>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</si>
  <si>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</si>
  <si>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</si>
  <si>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</si>
  <si>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</si>
  <si>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</si>
  <si>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</si>
  <si>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</si>
  <si>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</si>
  <si>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</si>
  <si>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</si>
  <si>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</si>
  <si>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</si>
  <si>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</si>
  <si>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</si>
  <si>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</si>
  <si>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</si>
  <si>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</si>
  <si>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</si>
  <si>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</si>
  <si>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</si>
  <si>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</si>
  <si>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</si>
  <si>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</si>
  <si>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</si>
  <si>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</si>
  <si>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</si>
  <si>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</si>
  <si>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</si>
  <si>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</si>
  <si>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失野晶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</si>
  <si>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</si>
  <si>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</si>
  <si>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</si>
  <si>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祖玛珑、兰蔻、YSL、雅诗兰黛、华为、比亚迪、长安</t>
  </si>
  <si>
    <t>于洋。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</si>
  <si>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</si>
  <si>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</si>
  <si>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</si>
  <si>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</si>
  <si>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</si>
  <si>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</si>
  <si>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</si>
  <si>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</si>
  <si>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</si>
  <si>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</si>
  <si>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</si>
  <si>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</si>
  <si>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</si>
  <si>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</si>
  <si>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</si>
  <si>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</si>
  <si>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</si>
  <si>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</si>
  <si>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</si>
  <si>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</si>
  <si>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</si>
  <si>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</si>
  <si>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</si>
  <si>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</si>
  <si>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</si>
  <si>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ygxdwl666</t>
  </si>
  <si>
    <t>段子、日常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</si>
  <si>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</si>
  <si>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</si>
  <si>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</si>
  <si>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</si>
  <si>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</si>
  <si>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</si>
  <si>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</si>
  <si>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</si>
  <si>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</si>
  <si>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</si>
  <si>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</si>
  <si>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</si>
  <si>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</si>
  <si>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</si>
  <si>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</si>
  <si>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</si>
  <si>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</si>
  <si>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</si>
  <si>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</si>
  <si>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</si>
  <si>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</si>
  <si>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</si>
  <si>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</si>
  <si>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</si>
  <si>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</si>
  <si>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</si>
  <si>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</si>
  <si>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</si>
  <si>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</si>
  <si>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</si>
  <si>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</si>
  <si>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</si>
  <si>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</si>
  <si>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</si>
  <si>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小泽（旅食版）</t>
  </si>
  <si>
    <t>美食</t>
  </si>
  <si>
    <t>https://v.douyin.com/LHVzqqbKBpE/</t>
  </si>
  <si>
    <t>陈嘉gìngìn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</si>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</sst>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&quot;￥&quot;#,##0_);[Red]\(&quot;￥&quot;#,##0\)"/>
    <numFmt numFmtId="178" formatCode="#,##0;[Red]#,##0"/>
    <numFmt numFmtId="179" formatCode="0&quot;.&quot;0,&quot;万&quot;"/>
    <numFmt numFmtId="180" formatCode="0;[Red]0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b/>
      <sz val="10"/>
      <name val="微软雅黑"/>
      <charset val="134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b/>
      <sz val="9"/>
      <color rgb="FF000000"/>
      <name val="微软雅黑"/>
      <charset val="134"/>
    </font>
    <font>
      <sz val="18"/>
      <color theme="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b/>
      <sz val="10"/>
      <color rgb="FFFF0000"/>
      <name val="微软雅黑"/>
      <charset val="134"/>
    </font>
    <font>
      <sz val="9"/>
      <color rgb="FF08090C"/>
      <name val="宋体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b/>
      <sz val="10"/>
      <color rgb="FF08090C"/>
      <name val="微软雅黑"/>
      <charset val="134"/>
    </font>
    <font>
      <b/>
      <sz val="8"/>
      <color rgb="FF08090C"/>
      <name val="微软雅黑 Light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宋体-简"/>
      <charset val="134"/>
    </font>
    <font>
      <sz val="9"/>
      <color rgb="FF08090C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4E6E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1" borderId="19" applyNumberFormat="0" applyAlignment="0" applyProtection="0">
      <alignment vertical="center"/>
    </xf>
    <xf numFmtId="0" fontId="47" fillId="7" borderId="20" applyNumberFormat="0" applyAlignment="0" applyProtection="0">
      <alignment vertical="center"/>
    </xf>
    <xf numFmtId="0" fontId="48" fillId="7" borderId="19" applyNumberFormat="0" applyAlignment="0" applyProtection="0">
      <alignment vertical="center"/>
    </xf>
    <xf numFmtId="0" fontId="49" fillId="32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9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6" fontId="5" fillId="4" borderId="0" xfId="0" applyNumberFormat="1" applyFont="1" applyFill="1" applyBorder="1" applyAlignment="1">
      <alignment horizontal="center" vertical="center" wrapText="1"/>
    </xf>
    <xf numFmtId="6" fontId="5" fillId="4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4" borderId="0" xfId="49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176" fontId="5" fillId="4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8" fillId="5" borderId="0" xfId="0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0" fontId="9" fillId="6" borderId="0" xfId="0" applyFont="1" applyFill="1" applyBorder="1">
      <alignment vertical="center"/>
    </xf>
    <xf numFmtId="0" fontId="5" fillId="6" borderId="0" xfId="0" applyNumberFormat="1" applyFont="1" applyFill="1" applyBorder="1" applyAlignment="1">
      <alignment horizontal="center" vertical="center"/>
    </xf>
    <xf numFmtId="177" fontId="5" fillId="6" borderId="0" xfId="0" applyNumberFormat="1" applyFont="1" applyFill="1" applyBorder="1" applyAlignment="1">
      <alignment horizontal="center" vertical="center"/>
    </xf>
    <xf numFmtId="0" fontId="10" fillId="6" borderId="0" xfId="6" applyNumberFormat="1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Border="1">
      <alignment vertical="center"/>
    </xf>
    <xf numFmtId="0" fontId="5" fillId="7" borderId="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Border="1" applyAlignment="1">
      <alignment horizontal="center" vertical="center"/>
    </xf>
    <xf numFmtId="0" fontId="10" fillId="7" borderId="0" xfId="6" applyNumberFormat="1" applyFont="1" applyFill="1" applyBorder="1" applyAlignment="1" applyProtection="1">
      <alignment horizontal="center" vertical="center" wrapText="1"/>
    </xf>
    <xf numFmtId="178" fontId="5" fillId="7" borderId="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>
      <alignment vertical="center"/>
    </xf>
    <xf numFmtId="178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0" fontId="10" fillId="6" borderId="1" xfId="6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9" fontId="6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9" fontId="6" fillId="7" borderId="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79" fontId="6" fillId="7" borderId="1" xfId="0" applyNumberFormat="1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13" fillId="4" borderId="0" xfId="0" applyFont="1" applyFill="1" applyAlignment="1">
      <alignment vertical="center"/>
    </xf>
    <xf numFmtId="0" fontId="8" fillId="9" borderId="0" xfId="0" applyFont="1" applyFill="1" applyBorder="1" applyAlignment="1">
      <alignment horizontal="center" vertical="center"/>
    </xf>
    <xf numFmtId="176" fontId="8" fillId="9" borderId="0" xfId="0" applyNumberFormat="1" applyFont="1" applyFill="1" applyBorder="1" applyAlignment="1">
      <alignment horizontal="center" vertical="center"/>
    </xf>
    <xf numFmtId="0" fontId="8" fillId="9" borderId="0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 wrapText="1"/>
    </xf>
    <xf numFmtId="179" fontId="5" fillId="4" borderId="0" xfId="0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179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 wrapText="1"/>
    </xf>
    <xf numFmtId="0" fontId="8" fillId="10" borderId="0" xfId="0" applyNumberFormat="1" applyFont="1" applyFill="1" applyBorder="1" applyAlignment="1" applyProtection="1">
      <alignment horizontal="center" vertical="center" wrapText="1"/>
    </xf>
    <xf numFmtId="176" fontId="8" fillId="10" borderId="0" xfId="0" applyNumberFormat="1" applyFont="1" applyFill="1" applyBorder="1" applyAlignment="1" applyProtection="1">
      <alignment horizontal="center" vertical="center" wrapText="1"/>
    </xf>
    <xf numFmtId="178" fontId="5" fillId="6" borderId="0" xfId="0" applyNumberFormat="1" applyFont="1" applyFill="1" applyBorder="1" applyAlignment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/>
    </xf>
    <xf numFmtId="179" fontId="5" fillId="7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/>
      <protection locked="0"/>
    </xf>
    <xf numFmtId="0" fontId="15" fillId="6" borderId="0" xfId="0" applyNumberFormat="1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17" fillId="12" borderId="0" xfId="0" applyNumberFormat="1" applyFont="1" applyFill="1" applyBorder="1" applyAlignment="1">
      <alignment vertical="center"/>
    </xf>
    <xf numFmtId="0" fontId="18" fillId="7" borderId="0" xfId="0" applyFont="1" applyFill="1" applyBorder="1" applyAlignment="1">
      <alignment horizontal="center" vertical="top" wrapText="1"/>
    </xf>
    <xf numFmtId="0" fontId="5" fillId="7" borderId="0" xfId="0" applyNumberFormat="1" applyFont="1" applyFill="1" applyBorder="1" applyAlignment="1">
      <alignment horizontal="center" vertical="center" wrapText="1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0" xfId="6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top" wrapText="1"/>
    </xf>
    <xf numFmtId="0" fontId="5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vertical="center"/>
    </xf>
    <xf numFmtId="0" fontId="17" fillId="13" borderId="0" xfId="0" applyFont="1" applyFill="1" applyBorder="1" applyAlignment="1">
      <alignment vertical="center"/>
    </xf>
    <xf numFmtId="0" fontId="19" fillId="13" borderId="0" xfId="0" applyNumberFormat="1" applyFont="1" applyFill="1" applyBorder="1" applyAlignment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5" fontId="6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 wrapText="1"/>
    </xf>
    <xf numFmtId="0" fontId="19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0" fontId="19" fillId="14" borderId="0" xfId="0" applyNumberFormat="1" applyFont="1" applyFill="1" applyBorder="1" applyAlignment="1">
      <alignment vertical="center"/>
    </xf>
    <xf numFmtId="0" fontId="19" fillId="15" borderId="0" xfId="0" applyFont="1" applyFill="1" applyBorder="1" applyAlignment="1">
      <alignment vertical="center"/>
    </xf>
    <xf numFmtId="0" fontId="17" fillId="15" borderId="0" xfId="0" applyFont="1" applyFill="1" applyBorder="1" applyAlignment="1">
      <alignment vertical="center"/>
    </xf>
    <xf numFmtId="0" fontId="19" fillId="15" borderId="0" xfId="0" applyNumberFormat="1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0" fontId="17" fillId="16" borderId="0" xfId="0" applyNumberFormat="1" applyFont="1" applyFill="1" applyBorder="1" applyAlignment="1">
      <alignment vertical="center"/>
    </xf>
    <xf numFmtId="0" fontId="20" fillId="7" borderId="0" xfId="0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vertical="center"/>
    </xf>
    <xf numFmtId="0" fontId="17" fillId="17" borderId="0" xfId="0" applyFont="1" applyFill="1" applyBorder="1" applyAlignment="1">
      <alignment vertical="center"/>
    </xf>
    <xf numFmtId="0" fontId="19" fillId="17" borderId="0" xfId="0" applyNumberFormat="1" applyFont="1" applyFill="1" applyBorder="1" applyAlignment="1">
      <alignment vertical="center"/>
    </xf>
    <xf numFmtId="0" fontId="21" fillId="7" borderId="0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80" fontId="5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5" fontId="5" fillId="6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/>
    </xf>
    <xf numFmtId="0" fontId="30" fillId="18" borderId="0" xfId="0" applyFont="1" applyFill="1" applyBorder="1" applyAlignment="1">
      <alignment horizontal="center" vertical="center" wrapText="1"/>
    </xf>
    <xf numFmtId="0" fontId="4" fillId="18" borderId="0" xfId="0" applyNumberFormat="1" applyFont="1" applyFill="1" applyBorder="1" applyAlignment="1">
      <alignment horizontal="center" vertical="center" wrapText="1"/>
    </xf>
    <xf numFmtId="0" fontId="17" fillId="19" borderId="0" xfId="0" applyFont="1" applyFill="1" applyBorder="1" applyAlignment="1">
      <alignment vertical="center"/>
    </xf>
    <xf numFmtId="0" fontId="17" fillId="19" borderId="0" xfId="0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>
      <alignment horizontal="left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/>
    </xf>
    <xf numFmtId="0" fontId="30" fillId="20" borderId="0" xfId="0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horizontal="center" vertical="center"/>
    </xf>
    <xf numFmtId="0" fontId="4" fillId="20" borderId="0" xfId="0" applyNumberFormat="1" applyFont="1" applyFill="1" applyBorder="1" applyAlignment="1">
      <alignment horizontal="center" vertical="center" wrapText="1"/>
    </xf>
    <xf numFmtId="0" fontId="19" fillId="21" borderId="0" xfId="0" applyFont="1" applyFill="1" applyBorder="1" applyAlignment="1">
      <alignment vertical="center"/>
    </xf>
    <xf numFmtId="0" fontId="19" fillId="21" borderId="0" xfId="0" applyFont="1" applyFill="1" applyBorder="1" applyAlignment="1">
      <alignment horizontal="center" vertical="center"/>
    </xf>
    <xf numFmtId="0" fontId="17" fillId="21" borderId="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49" applyFont="1" applyFill="1" applyBorder="1" applyAlignment="1">
      <alignment horizontal="center" vertical="center" wrapText="1"/>
    </xf>
    <xf numFmtId="0" fontId="6" fillId="22" borderId="0" xfId="0" applyNumberFormat="1" applyFont="1" applyFill="1" applyBorder="1" applyAlignment="1">
      <alignment horizontal="center" vertical="center" wrapText="1"/>
    </xf>
    <xf numFmtId="0" fontId="20" fillId="22" borderId="0" xfId="0" applyFont="1" applyFill="1" applyBorder="1" applyAlignment="1">
      <alignment horizontal="center" vertical="center" wrapText="1"/>
    </xf>
    <xf numFmtId="0" fontId="7" fillId="22" borderId="0" xfId="0" applyFont="1" applyFill="1" applyBorder="1" applyAlignment="1">
      <alignment vertical="center" wrapText="1"/>
    </xf>
    <xf numFmtId="0" fontId="6" fillId="22" borderId="0" xfId="0" applyFont="1" applyFill="1" applyBorder="1" applyAlignment="1">
      <alignment horizontal="center" vertical="center" wrapText="1"/>
    </xf>
    <xf numFmtId="0" fontId="17" fillId="21" borderId="0" xfId="0" applyFont="1" applyFill="1" applyBorder="1" applyAlignment="1">
      <alignment vertical="center"/>
    </xf>
    <xf numFmtId="0" fontId="5" fillId="7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19" fillId="23" borderId="0" xfId="0" applyFont="1" applyFill="1" applyBorder="1" applyAlignment="1">
      <alignment vertical="center"/>
    </xf>
    <xf numFmtId="0" fontId="19" fillId="23" borderId="0" xfId="0" applyFont="1" applyFill="1" applyBorder="1" applyAlignment="1">
      <alignment horizontal="center" vertical="center"/>
    </xf>
    <xf numFmtId="0" fontId="17" fillId="23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vertical="center"/>
    </xf>
    <xf numFmtId="0" fontId="19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176" fontId="5" fillId="22" borderId="0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Border="1" applyAlignment="1">
      <alignment horizontal="center" vertical="top" wrapText="1"/>
    </xf>
    <xf numFmtId="0" fontId="19" fillId="17" borderId="0" xfId="0" applyFont="1" applyFill="1" applyBorder="1" applyAlignment="1">
      <alignment vertical="center" wrapText="1"/>
    </xf>
    <xf numFmtId="0" fontId="19" fillId="17" borderId="0" xfId="0" applyFont="1" applyFill="1" applyBorder="1" applyAlignment="1">
      <alignment horizontal="center" vertical="center" wrapText="1"/>
    </xf>
    <xf numFmtId="0" fontId="17" fillId="17" borderId="0" xfId="0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top" wrapText="1"/>
    </xf>
    <xf numFmtId="0" fontId="19" fillId="14" borderId="0" xfId="0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vertical="center"/>
    </xf>
    <xf numFmtId="0" fontId="19" fillId="8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5" fillId="6" borderId="0" xfId="49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7" fillId="24" borderId="0" xfId="0" applyFont="1" applyFill="1" applyBorder="1" applyAlignment="1">
      <alignment horizontal="center" vertical="center"/>
    </xf>
    <xf numFmtId="0" fontId="19" fillId="25" borderId="0" xfId="0" applyFont="1" applyFill="1" applyBorder="1" applyAlignment="1">
      <alignment vertical="center"/>
    </xf>
    <xf numFmtId="0" fontId="19" fillId="25" borderId="0" xfId="0" applyFont="1" applyFill="1" applyBorder="1" applyAlignment="1">
      <alignment horizontal="center" vertical="center"/>
    </xf>
    <xf numFmtId="0" fontId="17" fillId="25" borderId="0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horizontal="center" vertical="center"/>
    </xf>
    <xf numFmtId="0" fontId="17" fillId="26" borderId="0" xfId="0" applyFont="1" applyFill="1" applyBorder="1" applyAlignment="1">
      <alignment horizontal="center" vertical="center"/>
    </xf>
    <xf numFmtId="0" fontId="26" fillId="26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horizontal="center" vertical="top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34" fillId="27" borderId="2" xfId="0" applyFont="1" applyFill="1" applyBorder="1" applyAlignment="1">
      <alignment horizontal="center" vertical="center" wrapText="1"/>
    </xf>
    <xf numFmtId="0" fontId="34" fillId="27" borderId="3" xfId="0" applyFont="1" applyFill="1" applyBorder="1" applyAlignment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/>
    </xf>
    <xf numFmtId="0" fontId="35" fillId="4" borderId="3" xfId="0" applyNumberFormat="1" applyFont="1" applyFill="1" applyBorder="1" applyAlignment="1" applyProtection="1">
      <alignment horizontal="center" vertical="center"/>
    </xf>
    <xf numFmtId="0" fontId="35" fillId="4" borderId="4" xfId="0" applyNumberFormat="1" applyFont="1" applyFill="1" applyBorder="1" applyAlignment="1" applyProtection="1">
      <alignment horizontal="center" vertical="center"/>
    </xf>
    <xf numFmtId="0" fontId="35" fillId="4" borderId="5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Alignment="1" applyProtection="1">
      <alignment horizontal="center" vertical="center"/>
    </xf>
    <xf numFmtId="0" fontId="35" fillId="4" borderId="6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Border="1" applyAlignment="1" applyProtection="1">
      <alignment horizontal="center" vertical="center"/>
    </xf>
    <xf numFmtId="0" fontId="35" fillId="4" borderId="7" xfId="0" applyNumberFormat="1" applyFont="1" applyFill="1" applyBorder="1" applyAlignment="1" applyProtection="1">
      <alignment horizontal="center" vertical="center"/>
    </xf>
    <xf numFmtId="0" fontId="35" fillId="4" borderId="8" xfId="0" applyNumberFormat="1" applyFont="1" applyFill="1" applyBorder="1" applyAlignment="1" applyProtection="1">
      <alignment horizontal="center" vertical="center"/>
    </xf>
    <xf numFmtId="0" fontId="35" fillId="4" borderId="9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>
      <alignment vertical="center"/>
    </xf>
    <xf numFmtId="0" fontId="36" fillId="28" borderId="10" xfId="0" applyNumberFormat="1" applyFont="1" applyFill="1" applyBorder="1" applyAlignment="1" applyProtection="1">
      <alignment horizontal="center" vertical="center" wrapText="1"/>
    </xf>
    <xf numFmtId="0" fontId="36" fillId="28" borderId="11" xfId="0" applyNumberFormat="1" applyFont="1" applyFill="1" applyBorder="1" applyAlignment="1" applyProtection="1">
      <alignment horizontal="center" vertical="center"/>
    </xf>
    <xf numFmtId="0" fontId="36" fillId="28" borderId="12" xfId="0" applyNumberFormat="1" applyFont="1" applyFill="1" applyBorder="1" applyAlignment="1" applyProtection="1">
      <alignment horizontal="center" vertical="center"/>
    </xf>
    <xf numFmtId="0" fontId="37" fillId="29" borderId="13" xfId="0" applyNumberFormat="1" applyFont="1" applyFill="1" applyBorder="1" applyAlignment="1" applyProtection="1">
      <alignment horizontal="center" vertical="center"/>
    </xf>
    <xf numFmtId="0" fontId="37" fillId="29" borderId="14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left" vertical="center" wrapText="1"/>
    </xf>
    <xf numFmtId="0" fontId="35" fillId="4" borderId="3" xfId="0" applyNumberFormat="1" applyFont="1" applyFill="1" applyBorder="1" applyAlignment="1" applyProtection="1">
      <alignment horizontal="left" vertical="center"/>
    </xf>
    <xf numFmtId="0" fontId="35" fillId="4" borderId="4" xfId="0" applyNumberFormat="1" applyFont="1" applyFill="1" applyBorder="1" applyAlignment="1" applyProtection="1">
      <alignment horizontal="left" vertical="center"/>
    </xf>
    <xf numFmtId="0" fontId="35" fillId="4" borderId="5" xfId="0" applyNumberFormat="1" applyFont="1" applyFill="1" applyBorder="1" applyAlignment="1" applyProtection="1">
      <alignment horizontal="left" vertical="center"/>
    </xf>
    <xf numFmtId="0" fontId="35" fillId="4" borderId="0" xfId="0" applyNumberFormat="1" applyFont="1" applyFill="1" applyAlignment="1" applyProtection="1">
      <alignment horizontal="left" vertical="center"/>
    </xf>
    <xf numFmtId="0" fontId="35" fillId="4" borderId="6" xfId="0" applyNumberFormat="1" applyFont="1" applyFill="1" applyBorder="1" applyAlignment="1" applyProtection="1">
      <alignment horizontal="left" vertical="center"/>
    </xf>
    <xf numFmtId="0" fontId="35" fillId="4" borderId="15" xfId="0" applyNumberFormat="1" applyFont="1" applyFill="1" applyBorder="1" applyAlignment="1" applyProtection="1">
      <alignment horizontal="left" vertical="center"/>
    </xf>
    <xf numFmtId="0" fontId="35" fillId="4" borderId="7" xfId="0" applyNumberFormat="1" applyFont="1" applyFill="1" applyBorder="1" applyAlignment="1" applyProtection="1">
      <alignment horizontal="left" vertical="center"/>
    </xf>
    <xf numFmtId="0" fontId="35" fillId="4" borderId="8" xfId="0" applyNumberFormat="1" applyFont="1" applyFill="1" applyBorder="1" applyAlignment="1" applyProtection="1">
      <alignment horizontal="left" vertical="center"/>
    </xf>
    <xf numFmtId="0" fontId="35" fillId="4" borderId="9" xfId="0" applyNumberFormat="1" applyFont="1" applyFill="1" applyBorder="1" applyAlignment="1" applyProtection="1">
      <alignment horizontal="left" vertical="center"/>
    </xf>
    <xf numFmtId="0" fontId="37" fillId="29" borderId="2" xfId="0" applyNumberFormat="1" applyFont="1" applyFill="1" applyBorder="1" applyAlignment="1" applyProtection="1">
      <alignment horizontal="center" vertical="center"/>
    </xf>
    <xf numFmtId="0" fontId="37" fillId="29" borderId="3" xfId="0" applyNumberFormat="1" applyFont="1" applyFill="1" applyBorder="1" applyAlignment="1" applyProtection="1">
      <alignment horizontal="center" vertical="center"/>
    </xf>
    <xf numFmtId="0" fontId="33" fillId="4" borderId="2" xfId="0" applyFont="1" applyFill="1" applyBorder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7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51370A64-EDA3-4E1C-9511-91A9CB124B6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5D42873A-DE98-4AC9-A984-D873A851DD37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DAA875"/>
      <color rgb="004DF5E7"/>
      <color rgb="0057C7D8"/>
      <color rgb="000484B1"/>
      <color rgb="00FB3F67"/>
      <color rgb="00F61851"/>
      <color rgb="00FFB86D"/>
      <color rgb="00FFFF00"/>
      <color rgb="00C4E6E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webp"/><Relationship Id="rId98" Type="http://schemas.openxmlformats.org/officeDocument/2006/relationships/image" Target="media/image99.webp"/><Relationship Id="rId97" Type="http://schemas.openxmlformats.org/officeDocument/2006/relationships/image" Target="media/image98.webp"/><Relationship Id="rId96" Type="http://schemas.openxmlformats.org/officeDocument/2006/relationships/image" Target="media/image97.webp"/><Relationship Id="rId95" Type="http://schemas.openxmlformats.org/officeDocument/2006/relationships/image" Target="media/image96.webp"/><Relationship Id="rId94" Type="http://schemas.openxmlformats.org/officeDocument/2006/relationships/image" Target="media/image95.webp"/><Relationship Id="rId93" Type="http://schemas.openxmlformats.org/officeDocument/2006/relationships/image" Target="media/image94.webp"/><Relationship Id="rId92" Type="http://schemas.openxmlformats.org/officeDocument/2006/relationships/image" Target="media/image93.webp"/><Relationship Id="rId91" Type="http://schemas.openxmlformats.org/officeDocument/2006/relationships/image" Target="media/image92.webp"/><Relationship Id="rId90" Type="http://schemas.openxmlformats.org/officeDocument/2006/relationships/image" Target="media/image91.webp"/><Relationship Id="rId9" Type="http://schemas.openxmlformats.org/officeDocument/2006/relationships/image" Target="media/image10.jpeg"/><Relationship Id="rId89" Type="http://schemas.openxmlformats.org/officeDocument/2006/relationships/image" Target="media/image90.webp"/><Relationship Id="rId88" Type="http://schemas.openxmlformats.org/officeDocument/2006/relationships/image" Target="media/image89.webp"/><Relationship Id="rId87" Type="http://schemas.openxmlformats.org/officeDocument/2006/relationships/image" Target="media/image88.webp"/><Relationship Id="rId86" Type="http://schemas.openxmlformats.org/officeDocument/2006/relationships/image" Target="media/image87.webp"/><Relationship Id="rId85" Type="http://schemas.openxmlformats.org/officeDocument/2006/relationships/image" Target="media/image86.webp"/><Relationship Id="rId84" Type="http://schemas.openxmlformats.org/officeDocument/2006/relationships/image" Target="media/image85.webp"/><Relationship Id="rId83" Type="http://schemas.openxmlformats.org/officeDocument/2006/relationships/image" Target="media/image84.webp"/><Relationship Id="rId82" Type="http://schemas.openxmlformats.org/officeDocument/2006/relationships/image" Target="media/image83.webp"/><Relationship Id="rId81" Type="http://schemas.openxmlformats.org/officeDocument/2006/relationships/image" Target="media/image82.webp"/><Relationship Id="rId80" Type="http://schemas.openxmlformats.org/officeDocument/2006/relationships/image" Target="media/image81.webp"/><Relationship Id="rId8" Type="http://schemas.openxmlformats.org/officeDocument/2006/relationships/image" Target="media/image9.jpeg"/><Relationship Id="rId79" Type="http://schemas.openxmlformats.org/officeDocument/2006/relationships/image" Target="media/image80.webp"/><Relationship Id="rId78" Type="http://schemas.openxmlformats.org/officeDocument/2006/relationships/image" Target="media/image79.webp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jpe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jpe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jpeg"/><Relationship Id="rId36" Type="http://schemas.openxmlformats.org/officeDocument/2006/relationships/image" Target="media/image37.jpeg"/><Relationship Id="rId35" Type="http://schemas.openxmlformats.org/officeDocument/2006/relationships/image" Target="media/image36.jpeg"/><Relationship Id="rId34" Type="http://schemas.openxmlformats.org/officeDocument/2006/relationships/image" Target="media/image35.pn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" Type="http://schemas.openxmlformats.org/officeDocument/2006/relationships/image" Target="media/image30.jpeg"/><Relationship Id="rId28" Type="http://schemas.openxmlformats.org/officeDocument/2006/relationships/image" Target="media/image29.jpeg"/><Relationship Id="rId27" Type="http://schemas.openxmlformats.org/officeDocument/2006/relationships/image" Target="media/image28.jpeg"/><Relationship Id="rId268" Type="http://schemas.openxmlformats.org/officeDocument/2006/relationships/image" Target="media/image269.jpeg"/><Relationship Id="rId267" Type="http://schemas.openxmlformats.org/officeDocument/2006/relationships/image" Target="media/image268.webp"/><Relationship Id="rId266" Type="http://schemas.openxmlformats.org/officeDocument/2006/relationships/image" Target="media/image267.webp"/><Relationship Id="rId265" Type="http://schemas.openxmlformats.org/officeDocument/2006/relationships/image" Target="media/image266.webp"/><Relationship Id="rId264" Type="http://schemas.openxmlformats.org/officeDocument/2006/relationships/image" Target="media/image265.webp"/><Relationship Id="rId263" Type="http://schemas.openxmlformats.org/officeDocument/2006/relationships/image" Target="media/image264.jpeg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jpeg"/><Relationship Id="rId258" Type="http://schemas.openxmlformats.org/officeDocument/2006/relationships/image" Target="media/image259.jpeg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jpeg"/><Relationship Id="rId254" Type="http://schemas.openxmlformats.org/officeDocument/2006/relationships/image" Target="media/image255.png"/><Relationship Id="rId253" Type="http://schemas.openxmlformats.org/officeDocument/2006/relationships/image" Target="media/image254.jpeg"/><Relationship Id="rId252" Type="http://schemas.openxmlformats.org/officeDocument/2006/relationships/image" Target="media/image253.jpeg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jpeg"/><Relationship Id="rId247" Type="http://schemas.openxmlformats.org/officeDocument/2006/relationships/image" Target="media/image248.jpeg"/><Relationship Id="rId246" Type="http://schemas.openxmlformats.org/officeDocument/2006/relationships/image" Target="media/image247.webp"/><Relationship Id="rId245" Type="http://schemas.openxmlformats.org/officeDocument/2006/relationships/image" Target="media/image246.jpeg"/><Relationship Id="rId244" Type="http://schemas.openxmlformats.org/officeDocument/2006/relationships/image" Target="media/image245.jpeg"/><Relationship Id="rId243" Type="http://schemas.openxmlformats.org/officeDocument/2006/relationships/image" Target="media/image244.jpeg"/><Relationship Id="rId242" Type="http://schemas.openxmlformats.org/officeDocument/2006/relationships/image" Target="media/image243.jpeg"/><Relationship Id="rId241" Type="http://schemas.openxmlformats.org/officeDocument/2006/relationships/image" Target="media/image242.jpeg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jpeg"/><Relationship Id="rId235" Type="http://schemas.openxmlformats.org/officeDocument/2006/relationships/image" Target="media/image236.jpeg"/><Relationship Id="rId234" Type="http://schemas.openxmlformats.org/officeDocument/2006/relationships/image" Target="media/image235.jpeg"/><Relationship Id="rId233" Type="http://schemas.openxmlformats.org/officeDocument/2006/relationships/image" Target="media/image234.jpeg"/><Relationship Id="rId232" Type="http://schemas.openxmlformats.org/officeDocument/2006/relationships/image" Target="media/image233.jpeg"/><Relationship Id="rId231" Type="http://schemas.openxmlformats.org/officeDocument/2006/relationships/image" Target="media/image232.jpeg"/><Relationship Id="rId230" Type="http://schemas.openxmlformats.org/officeDocument/2006/relationships/image" Target="media/image231.jpeg"/><Relationship Id="rId23" Type="http://schemas.openxmlformats.org/officeDocument/2006/relationships/image" Target="media/image24.jpeg"/><Relationship Id="rId229" Type="http://schemas.openxmlformats.org/officeDocument/2006/relationships/image" Target="media/image230.jpeg"/><Relationship Id="rId228" Type="http://schemas.openxmlformats.org/officeDocument/2006/relationships/image" Target="media/image229.jpeg"/><Relationship Id="rId227" Type="http://schemas.openxmlformats.org/officeDocument/2006/relationships/image" Target="media/image228.jpeg"/><Relationship Id="rId226" Type="http://schemas.openxmlformats.org/officeDocument/2006/relationships/image" Target="media/image227.jpeg"/><Relationship Id="rId225" Type="http://schemas.openxmlformats.org/officeDocument/2006/relationships/image" Target="media/image226.jpeg"/><Relationship Id="rId224" Type="http://schemas.openxmlformats.org/officeDocument/2006/relationships/image" Target="media/image225.jpeg"/><Relationship Id="rId223" Type="http://schemas.openxmlformats.org/officeDocument/2006/relationships/image" Target="media/image224.webp"/><Relationship Id="rId222" Type="http://schemas.openxmlformats.org/officeDocument/2006/relationships/image" Target="media/image223.webp"/><Relationship Id="rId221" Type="http://schemas.openxmlformats.org/officeDocument/2006/relationships/image" Target="media/image222.webp"/><Relationship Id="rId220" Type="http://schemas.openxmlformats.org/officeDocument/2006/relationships/image" Target="media/image221.jpeg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jpeg"/><Relationship Id="rId217" Type="http://schemas.openxmlformats.org/officeDocument/2006/relationships/image" Target="media/image218.webp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webp"/><Relationship Id="rId213" Type="http://schemas.openxmlformats.org/officeDocument/2006/relationships/image" Target="media/image214.webp"/><Relationship Id="rId212" Type="http://schemas.openxmlformats.org/officeDocument/2006/relationships/image" Target="media/image213.jpe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jpeg"/><Relationship Id="rId208" Type="http://schemas.openxmlformats.org/officeDocument/2006/relationships/image" Target="media/image209.jpeg"/><Relationship Id="rId207" Type="http://schemas.openxmlformats.org/officeDocument/2006/relationships/image" Target="media/image208.jpeg"/><Relationship Id="rId206" Type="http://schemas.openxmlformats.org/officeDocument/2006/relationships/image" Target="media/image207.jpeg"/><Relationship Id="rId205" Type="http://schemas.openxmlformats.org/officeDocument/2006/relationships/image" Target="media/image206.jpeg"/><Relationship Id="rId204" Type="http://schemas.openxmlformats.org/officeDocument/2006/relationships/image" Target="media/image205.jpeg"/><Relationship Id="rId203" Type="http://schemas.openxmlformats.org/officeDocument/2006/relationships/image" Target="media/image204.jpeg"/><Relationship Id="rId202" Type="http://schemas.openxmlformats.org/officeDocument/2006/relationships/image" Target="media/image203.jpeg"/><Relationship Id="rId201" Type="http://schemas.openxmlformats.org/officeDocument/2006/relationships/image" Target="media/image202.jpeg"/><Relationship Id="rId200" Type="http://schemas.openxmlformats.org/officeDocument/2006/relationships/image" Target="media/image201.jpeg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jpeg"/><Relationship Id="rId198" Type="http://schemas.openxmlformats.org/officeDocument/2006/relationships/image" Target="media/image199.jpeg"/><Relationship Id="rId197" Type="http://schemas.openxmlformats.org/officeDocument/2006/relationships/image" Target="media/image198.jpeg"/><Relationship Id="rId196" Type="http://schemas.openxmlformats.org/officeDocument/2006/relationships/image" Target="media/image197.jpeg"/><Relationship Id="rId195" Type="http://schemas.openxmlformats.org/officeDocument/2006/relationships/image" Target="media/image196.jpeg"/><Relationship Id="rId194" Type="http://schemas.openxmlformats.org/officeDocument/2006/relationships/image" Target="media/image195.webp"/><Relationship Id="rId193" Type="http://schemas.openxmlformats.org/officeDocument/2006/relationships/image" Target="media/image194.jpeg"/><Relationship Id="rId192" Type="http://schemas.openxmlformats.org/officeDocument/2006/relationships/image" Target="media/image193.webp"/><Relationship Id="rId191" Type="http://schemas.openxmlformats.org/officeDocument/2006/relationships/image" Target="media/image192.jpeg"/><Relationship Id="rId190" Type="http://schemas.openxmlformats.org/officeDocument/2006/relationships/image" Target="media/image191.png"/><Relationship Id="rId19" Type="http://schemas.openxmlformats.org/officeDocument/2006/relationships/image" Target="media/image20.jpeg"/><Relationship Id="rId189" Type="http://schemas.openxmlformats.org/officeDocument/2006/relationships/image" Target="media/image190.jpeg"/><Relationship Id="rId188" Type="http://schemas.openxmlformats.org/officeDocument/2006/relationships/image" Target="media/image189.webp"/><Relationship Id="rId187" Type="http://schemas.openxmlformats.org/officeDocument/2006/relationships/image" Target="media/image188.jpeg"/><Relationship Id="rId186" Type="http://schemas.openxmlformats.org/officeDocument/2006/relationships/image" Target="media/image187.webp"/><Relationship Id="rId185" Type="http://schemas.openxmlformats.org/officeDocument/2006/relationships/image" Target="media/image186.jpeg"/><Relationship Id="rId184" Type="http://schemas.openxmlformats.org/officeDocument/2006/relationships/image" Target="media/image185.jpeg"/><Relationship Id="rId183" Type="http://schemas.openxmlformats.org/officeDocument/2006/relationships/image" Target="media/image184.jpeg"/><Relationship Id="rId182" Type="http://schemas.openxmlformats.org/officeDocument/2006/relationships/image" Target="media/image183.jpeg"/><Relationship Id="rId181" Type="http://schemas.openxmlformats.org/officeDocument/2006/relationships/image" Target="media/image182.jpeg"/><Relationship Id="rId180" Type="http://schemas.openxmlformats.org/officeDocument/2006/relationships/image" Target="media/image181.jpeg"/><Relationship Id="rId18" Type="http://schemas.openxmlformats.org/officeDocument/2006/relationships/image" Target="media/image19.jpeg"/><Relationship Id="rId179" Type="http://schemas.openxmlformats.org/officeDocument/2006/relationships/image" Target="media/image180.jpeg"/><Relationship Id="rId178" Type="http://schemas.openxmlformats.org/officeDocument/2006/relationships/image" Target="media/image179.jpeg"/><Relationship Id="rId177" Type="http://schemas.openxmlformats.org/officeDocument/2006/relationships/image" Target="media/image178.webp"/><Relationship Id="rId176" Type="http://schemas.openxmlformats.org/officeDocument/2006/relationships/image" Target="media/image177.jpeg"/><Relationship Id="rId175" Type="http://schemas.openxmlformats.org/officeDocument/2006/relationships/image" Target="media/image176.jpeg"/><Relationship Id="rId174" Type="http://schemas.openxmlformats.org/officeDocument/2006/relationships/image" Target="media/image175.jpeg"/><Relationship Id="rId173" Type="http://schemas.openxmlformats.org/officeDocument/2006/relationships/image" Target="media/image174.jpeg"/><Relationship Id="rId172" Type="http://schemas.openxmlformats.org/officeDocument/2006/relationships/image" Target="media/image173.jpeg"/><Relationship Id="rId171" Type="http://schemas.openxmlformats.org/officeDocument/2006/relationships/image" Target="media/image172.jpeg"/><Relationship Id="rId170" Type="http://schemas.openxmlformats.org/officeDocument/2006/relationships/image" Target="media/image171.jpeg"/><Relationship Id="rId17" Type="http://schemas.openxmlformats.org/officeDocument/2006/relationships/image" Target="media/image18.jpeg"/><Relationship Id="rId169" Type="http://schemas.openxmlformats.org/officeDocument/2006/relationships/image" Target="media/image170.jpeg"/><Relationship Id="rId168" Type="http://schemas.openxmlformats.org/officeDocument/2006/relationships/image" Target="media/image169.jpeg"/><Relationship Id="rId167" Type="http://schemas.openxmlformats.org/officeDocument/2006/relationships/image" Target="media/image168.jpeg"/><Relationship Id="rId166" Type="http://schemas.openxmlformats.org/officeDocument/2006/relationships/image" Target="media/image167.jpeg"/><Relationship Id="rId165" Type="http://schemas.openxmlformats.org/officeDocument/2006/relationships/image" Target="media/image166.jpeg"/><Relationship Id="rId164" Type="http://schemas.openxmlformats.org/officeDocument/2006/relationships/image" Target="media/image165.jpeg"/><Relationship Id="rId163" Type="http://schemas.openxmlformats.org/officeDocument/2006/relationships/image" Target="media/image164.jpeg"/><Relationship Id="rId162" Type="http://schemas.openxmlformats.org/officeDocument/2006/relationships/image" Target="media/image163.jpeg"/><Relationship Id="rId161" Type="http://schemas.openxmlformats.org/officeDocument/2006/relationships/image" Target="media/image162.jpeg"/><Relationship Id="rId160" Type="http://schemas.openxmlformats.org/officeDocument/2006/relationships/image" Target="media/image161.jpeg"/><Relationship Id="rId16" Type="http://schemas.openxmlformats.org/officeDocument/2006/relationships/image" Target="media/image17.jpeg"/><Relationship Id="rId159" Type="http://schemas.openxmlformats.org/officeDocument/2006/relationships/image" Target="media/image160.jpeg"/><Relationship Id="rId158" Type="http://schemas.openxmlformats.org/officeDocument/2006/relationships/image" Target="media/image159.jpeg"/><Relationship Id="rId157" Type="http://schemas.openxmlformats.org/officeDocument/2006/relationships/image" Target="media/image158.jpeg"/><Relationship Id="rId156" Type="http://schemas.openxmlformats.org/officeDocument/2006/relationships/image" Target="media/image157.jpeg"/><Relationship Id="rId155" Type="http://schemas.openxmlformats.org/officeDocument/2006/relationships/image" Target="media/image156.jpeg"/><Relationship Id="rId154" Type="http://schemas.openxmlformats.org/officeDocument/2006/relationships/image" Target="media/image155.jpeg"/><Relationship Id="rId153" Type="http://schemas.openxmlformats.org/officeDocument/2006/relationships/image" Target="media/image154.png"/><Relationship Id="rId152" Type="http://schemas.openxmlformats.org/officeDocument/2006/relationships/image" Target="media/image153.jpeg"/><Relationship Id="rId151" Type="http://schemas.openxmlformats.org/officeDocument/2006/relationships/image" Target="media/image152.jpeg"/><Relationship Id="rId150" Type="http://schemas.openxmlformats.org/officeDocument/2006/relationships/image" Target="media/image151.jpeg"/><Relationship Id="rId15" Type="http://schemas.openxmlformats.org/officeDocument/2006/relationships/image" Target="media/image16.jpeg"/><Relationship Id="rId149" Type="http://schemas.openxmlformats.org/officeDocument/2006/relationships/image" Target="media/image150.jpeg"/><Relationship Id="rId148" Type="http://schemas.openxmlformats.org/officeDocument/2006/relationships/image" Target="media/image149.png"/><Relationship Id="rId147" Type="http://schemas.openxmlformats.org/officeDocument/2006/relationships/image" Target="media/image148.png"/><Relationship Id="rId146" Type="http://schemas.openxmlformats.org/officeDocument/2006/relationships/image" Target="media/image147.png"/><Relationship Id="rId145" Type="http://schemas.openxmlformats.org/officeDocument/2006/relationships/image" Target="media/image146.png"/><Relationship Id="rId144" Type="http://schemas.openxmlformats.org/officeDocument/2006/relationships/image" Target="media/image145.png"/><Relationship Id="rId143" Type="http://schemas.openxmlformats.org/officeDocument/2006/relationships/image" Target="media/image144.png"/><Relationship Id="rId142" Type="http://schemas.openxmlformats.org/officeDocument/2006/relationships/image" Target="media/image143.png"/><Relationship Id="rId141" Type="http://schemas.openxmlformats.org/officeDocument/2006/relationships/image" Target="media/image142.png"/><Relationship Id="rId140" Type="http://schemas.openxmlformats.org/officeDocument/2006/relationships/image" Target="media/image141.png"/><Relationship Id="rId14" Type="http://schemas.openxmlformats.org/officeDocument/2006/relationships/image" Target="media/image15.jpeg"/><Relationship Id="rId139" Type="http://schemas.openxmlformats.org/officeDocument/2006/relationships/image" Target="media/image140.png"/><Relationship Id="rId138" Type="http://schemas.openxmlformats.org/officeDocument/2006/relationships/image" Target="media/image139.png"/><Relationship Id="rId137" Type="http://schemas.openxmlformats.org/officeDocument/2006/relationships/image" Target="media/image138.png"/><Relationship Id="rId136" Type="http://schemas.openxmlformats.org/officeDocument/2006/relationships/image" Target="media/image137.png"/><Relationship Id="rId135" Type="http://schemas.openxmlformats.org/officeDocument/2006/relationships/image" Target="media/image136.png"/><Relationship Id="rId134" Type="http://schemas.openxmlformats.org/officeDocument/2006/relationships/image" Target="media/image135.png"/><Relationship Id="rId133" Type="http://schemas.openxmlformats.org/officeDocument/2006/relationships/image" Target="media/image134.png"/><Relationship Id="rId132" Type="http://schemas.openxmlformats.org/officeDocument/2006/relationships/image" Target="media/image133.png"/><Relationship Id="rId131" Type="http://schemas.openxmlformats.org/officeDocument/2006/relationships/image" Target="media/image132.png"/><Relationship Id="rId130" Type="http://schemas.openxmlformats.org/officeDocument/2006/relationships/image" Target="media/image131.png"/><Relationship Id="rId13" Type="http://schemas.openxmlformats.org/officeDocument/2006/relationships/image" Target="media/image14.jpeg"/><Relationship Id="rId129" Type="http://schemas.openxmlformats.org/officeDocument/2006/relationships/image" Target="media/image130.png"/><Relationship Id="rId128" Type="http://schemas.openxmlformats.org/officeDocument/2006/relationships/image" Target="media/image129.png"/><Relationship Id="rId127" Type="http://schemas.openxmlformats.org/officeDocument/2006/relationships/image" Target="media/image128.png"/><Relationship Id="rId126" Type="http://schemas.openxmlformats.org/officeDocument/2006/relationships/image" Target="media/image127.png"/><Relationship Id="rId125" Type="http://schemas.openxmlformats.org/officeDocument/2006/relationships/image" Target="media/image126.png"/><Relationship Id="rId124" Type="http://schemas.openxmlformats.org/officeDocument/2006/relationships/image" Target="media/image125.png"/><Relationship Id="rId123" Type="http://schemas.openxmlformats.org/officeDocument/2006/relationships/image" Target="media/image124.png"/><Relationship Id="rId122" Type="http://schemas.openxmlformats.org/officeDocument/2006/relationships/image" Target="media/image123.png"/><Relationship Id="rId121" Type="http://schemas.openxmlformats.org/officeDocument/2006/relationships/image" Target="media/image122.png"/><Relationship Id="rId120" Type="http://schemas.openxmlformats.org/officeDocument/2006/relationships/image" Target="media/image121.png"/><Relationship Id="rId12" Type="http://schemas.openxmlformats.org/officeDocument/2006/relationships/image" Target="media/image13.jpeg"/><Relationship Id="rId119" Type="http://schemas.openxmlformats.org/officeDocument/2006/relationships/image" Target="media/image120.png"/><Relationship Id="rId118" Type="http://schemas.openxmlformats.org/officeDocument/2006/relationships/image" Target="media/image119.png"/><Relationship Id="rId117" Type="http://schemas.openxmlformats.org/officeDocument/2006/relationships/image" Target="media/image118.png"/><Relationship Id="rId116" Type="http://schemas.openxmlformats.org/officeDocument/2006/relationships/image" Target="media/image117.png"/><Relationship Id="rId115" Type="http://schemas.openxmlformats.org/officeDocument/2006/relationships/image" Target="media/image116.png"/><Relationship Id="rId114" Type="http://schemas.openxmlformats.org/officeDocument/2006/relationships/image" Target="media/image115.png"/><Relationship Id="rId113" Type="http://schemas.openxmlformats.org/officeDocument/2006/relationships/image" Target="media/image114.png"/><Relationship Id="rId112" Type="http://schemas.openxmlformats.org/officeDocument/2006/relationships/image" Target="media/image113.png"/><Relationship Id="rId111" Type="http://schemas.openxmlformats.org/officeDocument/2006/relationships/image" Target="media/image112.png"/><Relationship Id="rId110" Type="http://schemas.openxmlformats.org/officeDocument/2006/relationships/image" Target="media/image111.png"/><Relationship Id="rId11" Type="http://schemas.openxmlformats.org/officeDocument/2006/relationships/image" Target="media/image12.jpeg"/><Relationship Id="rId109" Type="http://schemas.openxmlformats.org/officeDocument/2006/relationships/image" Target="media/image110.jpeg"/><Relationship Id="rId108" Type="http://schemas.openxmlformats.org/officeDocument/2006/relationships/image" Target="media/image109.jpeg"/><Relationship Id="rId107" Type="http://schemas.openxmlformats.org/officeDocument/2006/relationships/image" Target="media/image108.jpeg"/><Relationship Id="rId106" Type="http://schemas.openxmlformats.org/officeDocument/2006/relationships/image" Target="media/image107.jpeg"/><Relationship Id="rId105" Type="http://schemas.openxmlformats.org/officeDocument/2006/relationships/image" Target="media/image106.jpeg"/><Relationship Id="rId104" Type="http://schemas.openxmlformats.org/officeDocument/2006/relationships/image" Target="media/image105.webp"/><Relationship Id="rId103" Type="http://schemas.openxmlformats.org/officeDocument/2006/relationships/image" Target="media/image104.webp"/><Relationship Id="rId102" Type="http://schemas.openxmlformats.org/officeDocument/2006/relationships/image" Target="media/image103.webp"/><Relationship Id="rId101" Type="http://schemas.openxmlformats.org/officeDocument/2006/relationships/image" Target="media/image102.webp"/><Relationship Id="rId100" Type="http://schemas.openxmlformats.org/officeDocument/2006/relationships/image" Target="media/image101.jpeg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3</xdr:row>
      <xdr:rowOff>179705</xdr:rowOff>
    </xdr:from>
    <xdr:to>
      <xdr:col>1</xdr:col>
      <xdr:colOff>422910</xdr:colOff>
      <xdr:row>3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67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27</xdr:row>
      <xdr:rowOff>179705</xdr:rowOff>
    </xdr:from>
    <xdr:to>
      <xdr:col>1</xdr:col>
      <xdr:colOff>422910</xdr:colOff>
      <xdr:row>27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7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28</xdr:row>
      <xdr:rowOff>179705</xdr:rowOff>
    </xdr:from>
    <xdr:to>
      <xdr:col>1</xdr:col>
      <xdr:colOff>422910</xdr:colOff>
      <xdr:row>28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642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29</xdr:row>
      <xdr:rowOff>179705</xdr:rowOff>
    </xdr:from>
    <xdr:to>
      <xdr:col>1</xdr:col>
      <xdr:colOff>422910</xdr:colOff>
      <xdr:row>29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05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41</xdr:row>
      <xdr:rowOff>179705</xdr:rowOff>
    </xdr:from>
    <xdr:to>
      <xdr:col>1</xdr:col>
      <xdr:colOff>422910</xdr:colOff>
      <xdr:row>41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436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47</xdr:row>
      <xdr:rowOff>179705</xdr:rowOff>
    </xdr:from>
    <xdr:to>
      <xdr:col>1</xdr:col>
      <xdr:colOff>422910</xdr:colOff>
      <xdr:row>47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17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48</xdr:row>
      <xdr:rowOff>179705</xdr:rowOff>
    </xdr:from>
    <xdr:to>
      <xdr:col>1</xdr:col>
      <xdr:colOff>422910</xdr:colOff>
      <xdr:row>48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8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49</xdr:row>
      <xdr:rowOff>179705</xdr:rowOff>
    </xdr:from>
    <xdr:to>
      <xdr:col>1</xdr:col>
      <xdr:colOff>422910</xdr:colOff>
      <xdr:row>49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944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63</xdr:row>
      <xdr:rowOff>179705</xdr:rowOff>
    </xdr:from>
    <xdr:to>
      <xdr:col>1</xdr:col>
      <xdr:colOff>422910</xdr:colOff>
      <xdr:row>63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769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65</xdr:row>
      <xdr:rowOff>179705</xdr:rowOff>
    </xdr:from>
    <xdr:to>
      <xdr:col>1</xdr:col>
      <xdr:colOff>422910</xdr:colOff>
      <xdr:row>65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864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77</xdr:row>
      <xdr:rowOff>179705</xdr:rowOff>
    </xdr:from>
    <xdr:to>
      <xdr:col>1</xdr:col>
      <xdr:colOff>422910</xdr:colOff>
      <xdr:row>77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595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81</xdr:row>
      <xdr:rowOff>179705</xdr:rowOff>
    </xdr:from>
    <xdr:to>
      <xdr:col>1</xdr:col>
      <xdr:colOff>422910</xdr:colOff>
      <xdr:row>81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817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85</xdr:row>
      <xdr:rowOff>179705</xdr:rowOff>
    </xdr:from>
    <xdr:to>
      <xdr:col>1</xdr:col>
      <xdr:colOff>422910</xdr:colOff>
      <xdr:row>85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71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94</xdr:row>
      <xdr:rowOff>179705</xdr:rowOff>
    </xdr:from>
    <xdr:to>
      <xdr:col>1</xdr:col>
      <xdr:colOff>422910</xdr:colOff>
      <xdr:row>94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611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97</xdr:row>
      <xdr:rowOff>179705</xdr:rowOff>
    </xdr:from>
    <xdr:to>
      <xdr:col>1</xdr:col>
      <xdr:colOff>422910</xdr:colOff>
      <xdr:row>97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769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99</xdr:row>
      <xdr:rowOff>179705</xdr:rowOff>
    </xdr:from>
    <xdr:to>
      <xdr:col>1</xdr:col>
      <xdr:colOff>422910</xdr:colOff>
      <xdr:row>99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896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113</xdr:row>
      <xdr:rowOff>179705</xdr:rowOff>
    </xdr:from>
    <xdr:to>
      <xdr:col>1</xdr:col>
      <xdr:colOff>422910</xdr:colOff>
      <xdr:row>113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69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57</xdr:row>
      <xdr:rowOff>179705</xdr:rowOff>
    </xdr:from>
    <xdr:to>
      <xdr:col>1</xdr:col>
      <xdr:colOff>422910</xdr:colOff>
      <xdr:row>57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420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68</xdr:row>
      <xdr:rowOff>179705</xdr:rowOff>
    </xdr:from>
    <xdr:to>
      <xdr:col>1</xdr:col>
      <xdr:colOff>422910</xdr:colOff>
      <xdr:row>68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69</xdr:row>
      <xdr:rowOff>179705</xdr:rowOff>
    </xdr:from>
    <xdr:to>
      <xdr:col>1</xdr:col>
      <xdr:colOff>422910</xdr:colOff>
      <xdr:row>69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1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100</xdr:row>
      <xdr:rowOff>179705</xdr:rowOff>
    </xdr:from>
    <xdr:to>
      <xdr:col>1</xdr:col>
      <xdr:colOff>422910</xdr:colOff>
      <xdr:row>100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960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67</xdr:row>
      <xdr:rowOff>179705</xdr:rowOff>
    </xdr:from>
    <xdr:to>
      <xdr:col>1</xdr:col>
      <xdr:colOff>422910</xdr:colOff>
      <xdr:row>67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99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70</xdr:row>
      <xdr:rowOff>187325</xdr:rowOff>
    </xdr:from>
    <xdr:to>
      <xdr:col>1</xdr:col>
      <xdr:colOff>422910</xdr:colOff>
      <xdr:row>70</xdr:row>
      <xdr:rowOff>466090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8306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50</xdr:row>
      <xdr:rowOff>179705</xdr:rowOff>
    </xdr:from>
    <xdr:to>
      <xdr:col>1</xdr:col>
      <xdr:colOff>422910</xdr:colOff>
      <xdr:row>50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07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52</xdr:row>
      <xdr:rowOff>179705</xdr:rowOff>
    </xdr:from>
    <xdr:to>
      <xdr:col>1</xdr:col>
      <xdr:colOff>422910</xdr:colOff>
      <xdr:row>52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134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51</xdr:row>
      <xdr:rowOff>179705</xdr:rowOff>
    </xdr:from>
    <xdr:to>
      <xdr:col>1</xdr:col>
      <xdr:colOff>422910</xdr:colOff>
      <xdr:row>51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71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56</xdr:row>
      <xdr:rowOff>179705</xdr:rowOff>
    </xdr:from>
    <xdr:to>
      <xdr:col>1</xdr:col>
      <xdr:colOff>422910</xdr:colOff>
      <xdr:row>56</xdr:row>
      <xdr:rowOff>458470</xdr:rowOff>
    </xdr:to>
    <xdr:pic>
      <xdr:nvPicPr>
        <xdr:cNvPr id="17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356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71</xdr:row>
      <xdr:rowOff>179705</xdr:rowOff>
    </xdr:from>
    <xdr:to>
      <xdr:col>1</xdr:col>
      <xdr:colOff>422910</xdr:colOff>
      <xdr:row>71</xdr:row>
      <xdr:rowOff>458470</xdr:rowOff>
    </xdr:to>
    <xdr:pic>
      <xdr:nvPicPr>
        <xdr:cNvPr id="19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245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78</xdr:row>
      <xdr:rowOff>187325</xdr:rowOff>
    </xdr:from>
    <xdr:to>
      <xdr:col>1</xdr:col>
      <xdr:colOff>422910</xdr:colOff>
      <xdr:row>78</xdr:row>
      <xdr:rowOff>466090</xdr:rowOff>
    </xdr:to>
    <xdr:pic>
      <xdr:nvPicPr>
        <xdr:cNvPr id="2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65931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88</xdr:row>
      <xdr:rowOff>179705</xdr:rowOff>
    </xdr:from>
    <xdr:to>
      <xdr:col>1</xdr:col>
      <xdr:colOff>422910</xdr:colOff>
      <xdr:row>88</xdr:row>
      <xdr:rowOff>458470</xdr:rowOff>
    </xdr:to>
    <xdr:pic>
      <xdr:nvPicPr>
        <xdr:cNvPr id="21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26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103</xdr:row>
      <xdr:rowOff>179705</xdr:rowOff>
    </xdr:from>
    <xdr:to>
      <xdr:col>1</xdr:col>
      <xdr:colOff>422910</xdr:colOff>
      <xdr:row>103</xdr:row>
      <xdr:rowOff>458470</xdr:rowOff>
    </xdr:to>
    <xdr:pic>
      <xdr:nvPicPr>
        <xdr:cNvPr id="2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150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114</xdr:row>
      <xdr:rowOff>179705</xdr:rowOff>
    </xdr:from>
    <xdr:to>
      <xdr:col>1</xdr:col>
      <xdr:colOff>422910</xdr:colOff>
      <xdr:row>114</xdr:row>
      <xdr:rowOff>458470</xdr:rowOff>
    </xdr:to>
    <xdr:pic>
      <xdr:nvPicPr>
        <xdr:cNvPr id="23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754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43</xdr:row>
      <xdr:rowOff>179705</xdr:rowOff>
    </xdr:from>
    <xdr:to>
      <xdr:col>1</xdr:col>
      <xdr:colOff>422910</xdr:colOff>
      <xdr:row>43</xdr:row>
      <xdr:rowOff>458470</xdr:rowOff>
    </xdr:to>
    <xdr:pic>
      <xdr:nvPicPr>
        <xdr:cNvPr id="24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563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44</xdr:row>
      <xdr:rowOff>179705</xdr:rowOff>
    </xdr:from>
    <xdr:to>
      <xdr:col>1</xdr:col>
      <xdr:colOff>422910</xdr:colOff>
      <xdr:row>44</xdr:row>
      <xdr:rowOff>458470</xdr:rowOff>
    </xdr:to>
    <xdr:pic>
      <xdr:nvPicPr>
        <xdr:cNvPr id="27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26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45</xdr:row>
      <xdr:rowOff>179705</xdr:rowOff>
    </xdr:from>
    <xdr:to>
      <xdr:col>1</xdr:col>
      <xdr:colOff>422910</xdr:colOff>
      <xdr:row>45</xdr:row>
      <xdr:rowOff>458470</xdr:rowOff>
    </xdr:to>
    <xdr:pic>
      <xdr:nvPicPr>
        <xdr:cNvPr id="29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90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84</xdr:row>
      <xdr:rowOff>179705</xdr:rowOff>
    </xdr:from>
    <xdr:to>
      <xdr:col>1</xdr:col>
      <xdr:colOff>422910</xdr:colOff>
      <xdr:row>84</xdr:row>
      <xdr:rowOff>458470</xdr:rowOff>
    </xdr:to>
    <xdr:pic>
      <xdr:nvPicPr>
        <xdr:cNvPr id="41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07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111</xdr:row>
      <xdr:rowOff>179705</xdr:rowOff>
    </xdr:from>
    <xdr:to>
      <xdr:col>1</xdr:col>
      <xdr:colOff>422910</xdr:colOff>
      <xdr:row>111</xdr:row>
      <xdr:rowOff>458470</xdr:rowOff>
    </xdr:to>
    <xdr:pic>
      <xdr:nvPicPr>
        <xdr:cNvPr id="46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59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13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53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79</xdr:row>
      <xdr:rowOff>179705</xdr:rowOff>
    </xdr:from>
    <xdr:to>
      <xdr:col>1</xdr:col>
      <xdr:colOff>422910</xdr:colOff>
      <xdr:row>79</xdr:row>
      <xdr:rowOff>458470</xdr:rowOff>
    </xdr:to>
    <xdr:pic>
      <xdr:nvPicPr>
        <xdr:cNvPr id="35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722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02946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43</xdr:row>
      <xdr:rowOff>117475</xdr:rowOff>
    </xdr:from>
    <xdr:to>
      <xdr:col>1</xdr:col>
      <xdr:colOff>475615</xdr:colOff>
      <xdr:row>43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1453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50</xdr:row>
      <xdr:rowOff>117475</xdr:rowOff>
    </xdr:from>
    <xdr:to>
      <xdr:col>1</xdr:col>
      <xdr:colOff>475615</xdr:colOff>
      <xdr:row>50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462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34</xdr:row>
      <xdr:rowOff>117475</xdr:rowOff>
    </xdr:from>
    <xdr:to>
      <xdr:col>1</xdr:col>
      <xdr:colOff>475615</xdr:colOff>
      <xdr:row>34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7071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12</xdr:row>
      <xdr:rowOff>117475</xdr:rowOff>
    </xdr:from>
    <xdr:to>
      <xdr:col>1</xdr:col>
      <xdr:colOff>475615</xdr:colOff>
      <xdr:row>12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608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</xdr:row>
      <xdr:rowOff>117475</xdr:rowOff>
    </xdr:from>
    <xdr:to>
      <xdr:col>1</xdr:col>
      <xdr:colOff>475615</xdr:colOff>
      <xdr:row>3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704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228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11</xdr:row>
      <xdr:rowOff>117475</xdr:rowOff>
    </xdr:from>
    <xdr:to>
      <xdr:col>1</xdr:col>
      <xdr:colOff>475615</xdr:colOff>
      <xdr:row>11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557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17</xdr:row>
      <xdr:rowOff>0</xdr:rowOff>
    </xdr:from>
    <xdr:to>
      <xdr:col>1</xdr:col>
      <xdr:colOff>475615</xdr:colOff>
      <xdr:row>17</xdr:row>
      <xdr:rowOff>278765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8509000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48</xdr:row>
      <xdr:rowOff>117475</xdr:rowOff>
    </xdr:from>
    <xdr:to>
      <xdr:col>1</xdr:col>
      <xdr:colOff>475615</xdr:colOff>
      <xdr:row>48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380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7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5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4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3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2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1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0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8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67" Type="http://schemas.openxmlformats.org/officeDocument/2006/relationships/hyperlink" Target="https://v.douyin.com/iLnMvpHr/" TargetMode="External"/><Relationship Id="rId66" Type="http://schemas.openxmlformats.org/officeDocument/2006/relationships/hyperlink" Target="https://v.douyin.com/iJPnedXN/" TargetMode="External"/><Relationship Id="rId65" Type="http://schemas.openxmlformats.org/officeDocument/2006/relationships/hyperlink" Target="https://v.douyin.com/iJPnXVxk/" TargetMode="External"/><Relationship Id="rId64" Type="http://schemas.openxmlformats.org/officeDocument/2006/relationships/hyperlink" Target="https://v.douyin.com/ieJE8VSW/" TargetMode="External"/><Relationship Id="rId63" Type="http://schemas.openxmlformats.org/officeDocument/2006/relationships/hyperlink" Target="https://v.douyin.com/iSSP2279/ 2@2.com" TargetMode="External"/><Relationship Id="rId62" Type="http://schemas.openxmlformats.org/officeDocument/2006/relationships/hyperlink" Target="https://v.douyin.com/i5boShFY/" TargetMode="External"/><Relationship Id="rId61" Type="http://schemas.openxmlformats.org/officeDocument/2006/relationships/hyperlink" Target="https://v.douyin.com/_lMUnKhZ_vE/" TargetMode="External"/><Relationship Id="rId60" Type="http://schemas.openxmlformats.org/officeDocument/2006/relationships/hyperlink" Target="https://v.douyin.com/l48-W0BWH2c/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D2Syf86/" TargetMode="External"/><Relationship Id="rId58" Type="http://schemas.openxmlformats.org/officeDocument/2006/relationships/hyperlink" Target="https://v.douyin.com/rXkgpu2/" TargetMode="External"/><Relationship Id="rId57" Type="http://schemas.openxmlformats.org/officeDocument/2006/relationships/hyperlink" Target="https://v.douyin.com/dHJh1Q1/" TargetMode="External"/><Relationship Id="rId56" Type="http://schemas.openxmlformats.org/officeDocument/2006/relationships/hyperlink" Target="https://v.douyin.com/iDDrdfwC/ 9@0.com" TargetMode="External"/><Relationship Id="rId55" Type="http://schemas.openxmlformats.org/officeDocument/2006/relationships/hyperlink" Target="https://v.douyin.com/iy5xpGEA/" TargetMode="External"/><Relationship Id="rId54" Type="http://schemas.openxmlformats.org/officeDocument/2006/relationships/hyperlink" Target="https://v.douyin.com/iYBa8VBc/" TargetMode="External"/><Relationship Id="rId53" Type="http://schemas.openxmlformats.org/officeDocument/2006/relationships/hyperlink" Target="https://v.douyin.com/RNPgvkV/" TargetMode="External"/><Relationship Id="rId52" Type="http://schemas.openxmlformats.org/officeDocument/2006/relationships/hyperlink" Target="https://v.douyin.com/FSHKXaa/" TargetMode="External"/><Relationship Id="rId51" Type="http://schemas.openxmlformats.org/officeDocument/2006/relationships/hyperlink" Target="https://v.douyin.com/iUU8cHHq/" TargetMode="External"/><Relationship Id="rId50" Type="http://schemas.openxmlformats.org/officeDocument/2006/relationships/hyperlink" Target="https://v.douyin.com/iDDUXSLj/ 9@1.com :2pm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iDDaWpJE/ 8@1.com :1pm" TargetMode="External"/><Relationship Id="rId48" Type="http://schemas.openxmlformats.org/officeDocument/2006/relationships/hyperlink" Target="https://v.douyin.com/24q2eQN/" TargetMode="External"/><Relationship Id="rId47" Type="http://schemas.openxmlformats.org/officeDocument/2006/relationships/hyperlink" Target="https://v.douyin.com/iBXmyyq9/ 3@3.com" TargetMode="External"/><Relationship Id="rId46" Type="http://schemas.openxmlformats.org/officeDocument/2006/relationships/hyperlink" Target="https://v.douyin.com/ikHJhdsd/ 5@0.com" TargetMode="External"/><Relationship Id="rId45" Type="http://schemas.openxmlformats.org/officeDocument/2006/relationships/hyperlink" Target="https://v.douyin.com/ihLfY4my/ 1@8.com" TargetMode="External"/><Relationship Id="rId44" Type="http://schemas.openxmlformats.org/officeDocument/2006/relationships/hyperlink" Target="https://v.douyin.com/ihY3Bnto/ 3@1.com" TargetMode="External"/><Relationship Id="rId43" Type="http://schemas.openxmlformats.org/officeDocument/2006/relationships/hyperlink" Target="https://v.douyin.com/ik1j1xge/ 9@3.com" TargetMode="External"/><Relationship Id="rId42" Type="http://schemas.openxmlformats.org/officeDocument/2006/relationships/hyperlink" Target="https://v.douyin.com/i6jrprmo/ 5@2.com" TargetMode="External"/><Relationship Id="rId41" Type="http://schemas.openxmlformats.org/officeDocument/2006/relationships/hyperlink" Target="https://v.douyin.com/i2H5qaFs/" TargetMode="External"/><Relationship Id="rId40" Type="http://schemas.openxmlformats.org/officeDocument/2006/relationships/hyperlink" Target="https://v.douyin.com/iY85x94D/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ijjdY42F/" TargetMode="External"/><Relationship Id="rId38" Type="http://schemas.openxmlformats.org/officeDocument/2006/relationships/hyperlink" Target="https://v.douyin.com/ijAbtYL4/" TargetMode="External"/><Relationship Id="rId37" Type="http://schemas.openxmlformats.org/officeDocument/2006/relationships/hyperlink" Target="https://v.douyin.com/FSgqeNj/" TargetMode="External"/><Relationship Id="rId36" Type="http://schemas.openxmlformats.org/officeDocument/2006/relationships/hyperlink" Target="https://v.douyin.com/8Y1YhAe/" TargetMode="External"/><Relationship Id="rId35" Type="http://schemas.openxmlformats.org/officeDocument/2006/relationships/hyperlink" Target="https://v.douyin.com/eC3yEYf/" TargetMode="External"/><Relationship Id="rId34" Type="http://schemas.openxmlformats.org/officeDocument/2006/relationships/hyperlink" Target="https://v.douyin.com/iLnrNjSN/" TargetMode="External"/><Relationship Id="rId33" Type="http://schemas.openxmlformats.org/officeDocument/2006/relationships/hyperlink" Target="https://v.douyin.com/iLb8hLmv/" TargetMode="External"/><Relationship Id="rId32" Type="http://schemas.openxmlformats.org/officeDocument/2006/relationships/hyperlink" Target="https://v.douyin.com/iRjb6jSc/" TargetMode="External"/><Relationship Id="rId31" Type="http://schemas.openxmlformats.org/officeDocument/2006/relationships/hyperlink" Target="https://v.douyin.com/idVsSMmU/" TargetMode="External"/><Relationship Id="rId30" Type="http://schemas.openxmlformats.org/officeDocument/2006/relationships/hyperlink" Target="https://v.douyin.com/ieJEk27r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N59HuqG/" TargetMode="External"/><Relationship Id="rId28" Type="http://schemas.openxmlformats.org/officeDocument/2006/relationships/hyperlink" Target="https://v.douyin.com/iJCV86d/" TargetMode="External"/><Relationship Id="rId27" Type="http://schemas.openxmlformats.org/officeDocument/2006/relationships/hyperlink" Target="https://v.douyin.com/U7hrxCa/" TargetMode="External"/><Relationship Id="rId26" Type="http://schemas.openxmlformats.org/officeDocument/2006/relationships/hyperlink" Target="https://v.douyin.com/jcNeW61/" TargetMode="External"/><Relationship Id="rId25" Type="http://schemas.openxmlformats.org/officeDocument/2006/relationships/hyperlink" Target="https://v.douyin.com/AEx3WQG/" TargetMode="External"/><Relationship Id="rId24" Type="http://schemas.openxmlformats.org/officeDocument/2006/relationships/hyperlink" Target="https://v.douyin.com/AvYkCxx/" TargetMode="External"/><Relationship Id="rId23" Type="http://schemas.openxmlformats.org/officeDocument/2006/relationships/hyperlink" Target="https://v.douyin.com/SyqNhh3/" TargetMode="External"/><Relationship Id="rId22" Type="http://schemas.openxmlformats.org/officeDocument/2006/relationships/hyperlink" Target="https://v.douyin.com/BcRnESq/" TargetMode="External"/><Relationship Id="rId21" Type="http://schemas.openxmlformats.org/officeDocument/2006/relationships/hyperlink" Target="https://v.douyin.com/BNvsvjV/" TargetMode="External"/><Relationship Id="rId209" Type="http://schemas.openxmlformats.org/officeDocument/2006/relationships/hyperlink" Target="https://www.xingtu.cn/ad/creator/author-homepage/douyin-video/6823276289034551309?market_track_id=XQP36RGPN4NM1BSUALXN&amp;search_session_id=7612555550568316991&amp;possessStarId" TargetMode="External"/><Relationship Id="rId208" Type="http://schemas.openxmlformats.org/officeDocument/2006/relationships/hyperlink" Target="https://v.douyin.com/61PqIfAui7Q/" TargetMode="External"/><Relationship Id="rId207" Type="http://schemas.openxmlformats.org/officeDocument/2006/relationships/hyperlink" Target="https://v.douyin.com/HPjVdhwpF6g/" TargetMode="External"/><Relationship Id="rId206" Type="http://schemas.openxmlformats.org/officeDocument/2006/relationships/hyperlink" Target="https://www.xingtu.cn/ad/creator/author-homepage/douyin-video/6686261173408497672?market_track_id=C9KC0V2695YKCAMPRZAN&amp;search_session_id=7603622751542902847&amp;possessStarId" TargetMode="External"/><Relationship Id="rId205" Type="http://schemas.openxmlformats.org/officeDocument/2006/relationships/hyperlink" Target="https://www.xingtu.cn/ad/creator/author-homepage/douyin-video/7098360218605584397?market_track_id=3JWSUIQCG3KMWOONLRSM&amp;search_session_id=7599601920637927465&amp;possessStarId" TargetMode="External"/><Relationship Id="rId204" Type="http://schemas.openxmlformats.org/officeDocument/2006/relationships/hyperlink" Target="https://www.xingtu.cn/ad/creator/author-homepage/douyin-video/6870112228712923144?market_track_id=I0U981DWX92MXI5VN9S6&amp;search_session_id=7597722299365965878&amp;possessStarId" TargetMode="External"/><Relationship Id="rId203" Type="http://schemas.openxmlformats.org/officeDocument/2006/relationships/hyperlink" Target="https://v.douyin.com/oc0iSkp3I-Y/" TargetMode="External"/><Relationship Id="rId202" Type="http://schemas.openxmlformats.org/officeDocument/2006/relationships/hyperlink" Target="https://www.xingtu.cn/ad/creator/author-homepage/douyin-video/6870166394432913422?market_track_id=7LU66Y0MMMAC8P83FUP9&amp;search_session_id=7597722017286488118&amp;possessStarId" TargetMode="External"/><Relationship Id="rId201" Type="http://schemas.openxmlformats.org/officeDocument/2006/relationships/hyperlink" Target="https://v.douyin.com/cCHj7dKTG10/" TargetMode="External"/><Relationship Id="rId200" Type="http://schemas.openxmlformats.org/officeDocument/2006/relationships/hyperlink" Target="https://www.xingtu.cn/ad/creator/author-homepage/douyin-video/7326903080321024010?market_track_id=4ED161GP8MO20S4OQWX6&amp;search_session_id=7593255005709598774&amp;possessStarId" TargetMode="External"/><Relationship Id="rId20" Type="http://schemas.openxmlformats.org/officeDocument/2006/relationships/hyperlink" Target="https://v.douyin.com/YFDupKa/" TargetMode="External"/><Relationship Id="rId2" Type="http://schemas.openxmlformats.org/officeDocument/2006/relationships/hyperlink" Target="https://v.douyin.com/ee1Ud3N/" TargetMode="External"/><Relationship Id="rId199" Type="http://schemas.openxmlformats.org/officeDocument/2006/relationships/hyperlink" Target="https://v.douyin.com/KeTRN28g1m0/" TargetMode="External"/><Relationship Id="rId198" Type="http://schemas.openxmlformats.org/officeDocument/2006/relationships/hyperlink" Target="https://v.douyin.com/--EOPwGtm5E/" TargetMode="External"/><Relationship Id="rId197" Type="http://schemas.openxmlformats.org/officeDocument/2006/relationships/hyperlink" Target="https://www.xingtu.cn/ad/creator/author-homepage/douyin-video/7353512627252920346?market_track_id=F644SGRAKU4KVG6NFBUU&amp;search_session_id=7579571893079212038&amp;possessStarId" TargetMode="External"/><Relationship Id="rId196" Type="http://schemas.openxmlformats.org/officeDocument/2006/relationships/hyperlink" Target="https://v.douyin.com/mQXUpIr3xO0/" TargetMode="External"/><Relationship Id="rId195" Type="http://schemas.openxmlformats.org/officeDocument/2006/relationships/hyperlink" Target="https://www.xingtu.cn/ad/creator/author-homepage/douyin-video/7164610130468667422?market_track_id=UDUYNLMS4L8IX6O5Q35O&amp;search_session_id=7587244361512747027&amp;possessStarId" TargetMode="External"/><Relationship Id="rId194" Type="http://schemas.openxmlformats.org/officeDocument/2006/relationships/hyperlink" Target="https://v.douyin.com/ijRaTmKu/" TargetMode="External"/><Relationship Id="rId193" Type="http://schemas.openxmlformats.org/officeDocument/2006/relationships/hyperlink" Target="https://www.xingtu.cn/ad/creator/author-homepage/douyin-video/6845057970179407879?market_track_id=E4Y19KVH1MWTEGLI5F2L&amp;search_session_id=7586573267851608070&amp;possessStarId" TargetMode="External"/><Relationship Id="rId192" Type="http://schemas.openxmlformats.org/officeDocument/2006/relationships/hyperlink" Target="https://v.douyin.com/9sgmrPxyfp8/" TargetMode="External"/><Relationship Id="rId191" Type="http://schemas.openxmlformats.org/officeDocument/2006/relationships/hyperlink" Target="https://www.xingtu.cn/ad/creator/author-homepage/douyin-video/7220300260617224252?market_track_id=3KUHLSB48RKZ5QU7UJG1&amp;search_session_id=7585483192904761398&amp;possessStarId" TargetMode="External"/><Relationship Id="rId190" Type="http://schemas.openxmlformats.org/officeDocument/2006/relationships/hyperlink" Target="https://v.douyin.com/UMaHdy_IyKw/" TargetMode="External"/><Relationship Id="rId19" Type="http://schemas.openxmlformats.org/officeDocument/2006/relationships/hyperlink" Target="https://v.douyin.com/N7vAXXo/" TargetMode="External"/><Relationship Id="rId189" Type="http://schemas.openxmlformats.org/officeDocument/2006/relationships/hyperlink" Target="https://www.xingtu.cn/ad/creator/author-homepage/douyin-video/7072935851847581734?market_track_id=LDXVS0SXIARWO5W865W2&amp;search_session_id=7583963797183758342&amp;possessStarId" TargetMode="External"/><Relationship Id="rId188" Type="http://schemas.openxmlformats.org/officeDocument/2006/relationships/hyperlink" Target="https://v.douyin.com/z7JKhSGLHj4/" TargetMode="External"/><Relationship Id="rId187" Type="http://schemas.openxmlformats.org/officeDocument/2006/relationships/hyperlink" Target="https://www.xingtu.cn/ad/creator/author-homepage/douyin-video/7421456107962368035?market_track_id=K01Z0FZ5DRR53BHT7OPI&amp;search_session_id=7582861478090899475&amp;possessStarId" TargetMode="External"/><Relationship Id="rId186" Type="http://schemas.openxmlformats.org/officeDocument/2006/relationships/hyperlink" Target="https://v.douyin.com/UppQ41r130A/" TargetMode="External"/><Relationship Id="rId185" Type="http://schemas.openxmlformats.org/officeDocument/2006/relationships/hyperlink" Target="https://www.xingtu.cn/ad/creator/author-homepage/douyin-video/6963730998898982948?market_track_id=7AOT1L3NXCYERYL2WKII&amp;search_session_id=7579578253254754358&amp;possessStarId" TargetMode="External"/><Relationship Id="rId184" Type="http://schemas.openxmlformats.org/officeDocument/2006/relationships/hyperlink" Target="https://v.douyin.com/sW37YfqVKkg/" TargetMode="External"/><Relationship Id="rId183" Type="http://schemas.openxmlformats.org/officeDocument/2006/relationships/hyperlink" Target="https://www.xingtu.cn/ad/creator/author-homepage/douyin-video/6819548254661771272?market_track_id=AH4RR3UMN9HSCR01P642&amp;search_session_id=7579518972032024582&amp;possessStarId" TargetMode="External"/><Relationship Id="rId182" Type="http://schemas.openxmlformats.org/officeDocument/2006/relationships/hyperlink" Target="https://v.douyin.com/BHaAiBM_k3w/" TargetMode="External"/><Relationship Id="rId181" Type="http://schemas.openxmlformats.org/officeDocument/2006/relationships/hyperlink" Target="https://www.xingtu.cn/ad/creator/author-homepage/douyin-video/7437412455573094438?market_track_id=OZDXFB6LRY6IARAR1ZJR&amp;search_session_id=7577287979769987108&amp;possessStarId" TargetMode="External"/><Relationship Id="rId180" Type="http://schemas.openxmlformats.org/officeDocument/2006/relationships/hyperlink" Target="https://v.douyin.com/Wd-9v46EwOo/" TargetMode="External"/><Relationship Id="rId18" Type="http://schemas.openxmlformats.org/officeDocument/2006/relationships/hyperlink" Target="https://v.douyin.com/hQeDxNC/" TargetMode="External"/><Relationship Id="rId179" Type="http://schemas.openxmlformats.org/officeDocument/2006/relationships/hyperlink" Target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 TargetMode="External"/><Relationship Id="rId178" Type="http://schemas.openxmlformats.org/officeDocument/2006/relationships/hyperlink" Target="https://v.douyin.com/bwEB4nNFwkw/" TargetMode="External"/><Relationship Id="rId177" Type="http://schemas.openxmlformats.org/officeDocument/2006/relationships/hyperlink" Target="https://www.xingtu.cn/ad/creator/author-homepage/douyin-video/7488315869542481958?market_track_id=GN4C1YMKB8J6X9QKJHNN&amp;search_session_id=7576565643592663094&amp;possessStarId" TargetMode="External"/><Relationship Id="rId176" Type="http://schemas.openxmlformats.org/officeDocument/2006/relationships/hyperlink" Target="https://v.douyin.com/wY5EbAVpuV8/" TargetMode="External"/><Relationship Id="rId175" Type="http://schemas.openxmlformats.org/officeDocument/2006/relationships/hyperlink" Target="https://www.xingtu.cn/ad/creator/author-homepage/douyin-video/7547976599398318089?market_track_id=R5DZ8YSWRGDLDFHSKGHK&amp;search_session_id=7572463525462655039&amp;possessStarId" TargetMode="External"/><Relationship Id="rId174" Type="http://schemas.openxmlformats.org/officeDocument/2006/relationships/hyperlink" Target="https://www.xingtu.cn/ad/creator/author-homepage/douyin-video/7515706747558821914?market_track_id=V0L18ORLB0HFDNBMGWSO&amp;search_session_id=7572463472073343017&amp;possessStarId" TargetMode="External"/><Relationship Id="rId173" Type="http://schemas.openxmlformats.org/officeDocument/2006/relationships/hyperlink" Target="https://v.douyin.com/0QUqPDyOiYI/" TargetMode="External"/><Relationship Id="rId172" Type="http://schemas.openxmlformats.org/officeDocument/2006/relationships/hyperlink" Target="https://v.douyin.com/_FIjdu3XHpI/" TargetMode="External"/><Relationship Id="rId171" Type="http://schemas.openxmlformats.org/officeDocument/2006/relationships/hyperlink" Target="https://www.xingtu.cn/ad/creator/author-homepage/douyin-video/7381766949996331017?market_track_id=NEDQY0AMQQDYQN41G8CM&amp;search_session_id=7572463486438735878&amp;possessStarId" TargetMode="External"/><Relationship Id="rId170" Type="http://schemas.openxmlformats.org/officeDocument/2006/relationships/hyperlink" Target="https://v.douyin.com/Fo6zCYRvpPA/" TargetMode="External"/><Relationship Id="rId17" Type="http://schemas.openxmlformats.org/officeDocument/2006/relationships/hyperlink" Target="https://v.douyin.com/rVAPr2p/" TargetMode="External"/><Relationship Id="rId169" Type="http://schemas.openxmlformats.org/officeDocument/2006/relationships/hyperlink" Target="https://www.xingtu.cn/ad/creator/author-homepage/douyin-video/6716888711335772164?market_track_id=IFYOO8BHE9JNSSK8UBE6&amp;search_session_id=7571704554984472619&amp;possessStarId" TargetMode="External"/><Relationship Id="rId168" Type="http://schemas.openxmlformats.org/officeDocument/2006/relationships/hyperlink" Target="https://v.douyin.com/YnUjViz55N4/" TargetMode="External"/><Relationship Id="rId167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166" Type="http://schemas.openxmlformats.org/officeDocument/2006/relationships/hyperlink" Target="https://v.douyin.com/P9i7l467NEs/" TargetMode="External"/><Relationship Id="rId165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164" Type="http://schemas.openxmlformats.org/officeDocument/2006/relationships/hyperlink" Target="https://v.douyin.com/-b2XUM3O2qk/" TargetMode="External"/><Relationship Id="rId163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62" Type="http://schemas.openxmlformats.org/officeDocument/2006/relationships/hyperlink" Target="https://v.douyin.com/bHqAlsCKcIw/" TargetMode="External"/><Relationship Id="rId161" Type="http://schemas.openxmlformats.org/officeDocument/2006/relationships/hyperlink" Target="https://www.xingtu.cn/ad/creator/author-homepage/douyin-video/7407743938431287347?market_track_id=6VJJY5F6E3FS3YS952O9&amp;search_session_id=7566145823580274730&amp;possessStarId" TargetMode="External"/><Relationship Id="rId160" Type="http://schemas.openxmlformats.org/officeDocument/2006/relationships/hyperlink" Target="https://v.douyin.com/X59bTLxsw30/" TargetMode="External"/><Relationship Id="rId16" Type="http://schemas.openxmlformats.org/officeDocument/2006/relationships/hyperlink" Target="https://v.douyin.com/rNwDm9W/" TargetMode="External"/><Relationship Id="rId159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58" Type="http://schemas.openxmlformats.org/officeDocument/2006/relationships/hyperlink" Target="https://v.douyin.com/91XqThN95LU/" TargetMode="External"/><Relationship Id="rId157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56" Type="http://schemas.openxmlformats.org/officeDocument/2006/relationships/hyperlink" Target="https://v.douyin.com/NYLfLoo/" TargetMode="External"/><Relationship Id="rId155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54" Type="http://schemas.openxmlformats.org/officeDocument/2006/relationships/hyperlink" Target="https://v.douyin.com/YPNJaozIgqY/" TargetMode="External"/><Relationship Id="rId153" Type="http://schemas.openxmlformats.org/officeDocument/2006/relationships/hyperlink" Target="https://v.douyin.com/EYsYmOl35_o/" TargetMode="External"/><Relationship Id="rId152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51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50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v.douyin.com/FmolR1KJook/" TargetMode="External"/><Relationship Id="rId148" Type="http://schemas.openxmlformats.org/officeDocument/2006/relationships/hyperlink" Target="https://v.douyin.com/eXcXMuA/" TargetMode="External"/><Relationship Id="rId147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46" Type="http://schemas.openxmlformats.org/officeDocument/2006/relationships/hyperlink" Target="https://v.douyin.com/eNCSeHH/" TargetMode="External"/><Relationship Id="rId145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44" Type="http://schemas.openxmlformats.org/officeDocument/2006/relationships/hyperlink" Target="https://v.douyin.com/YVnZ2nB_6tQ/ 9@0.com" TargetMode="External"/><Relationship Id="rId143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42" Type="http://schemas.openxmlformats.org/officeDocument/2006/relationships/hyperlink" Target="https://v.douyin.com/l9yMFgFF4Ic/" TargetMode="External"/><Relationship Id="rId141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40" Type="http://schemas.openxmlformats.org/officeDocument/2006/relationships/hyperlink" Target="https://v.douyin.com/em3sFvS6LMA/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38" Type="http://schemas.openxmlformats.org/officeDocument/2006/relationships/hyperlink" Target="https://v.douyin.com/9AFkA0NTkFQ/" TargetMode="External"/><Relationship Id="rId137" Type="http://schemas.openxmlformats.org/officeDocument/2006/relationships/hyperlink" Target="https://v.douyin.com/Y_T6k4YZ1jA/" TargetMode="External"/><Relationship Id="rId136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35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34" Type="http://schemas.openxmlformats.org/officeDocument/2006/relationships/hyperlink" Target="https://v.douyin.com/NfM4H3xVgqI/ 0@0.com" TargetMode="External"/><Relationship Id="rId133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iJsMgCaF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1" Type="http://schemas.openxmlformats.org/officeDocument/2006/relationships/hyperlink" Target="https://v.douyin.com/8oBw_hRyLHk/" TargetMode="External"/><Relationship Id="rId30" Type="http://schemas.openxmlformats.org/officeDocument/2006/relationships/hyperlink" Target="https://v.douyin.com/NecqtmzI3XI/" TargetMode="External"/><Relationship Id="rId3" Type="http://schemas.openxmlformats.org/officeDocument/2006/relationships/hyperlink" Target="https://v.douyin.com/eYqMACg/" TargetMode="External"/><Relationship Id="rId29" Type="http://schemas.openxmlformats.org/officeDocument/2006/relationships/hyperlink" Target="https://v.douyin.com/ye9b2f5Zxfo/" TargetMode="External"/><Relationship Id="rId28" Type="http://schemas.openxmlformats.org/officeDocument/2006/relationships/hyperlink" Target="https://v.douyin.com/7MUzLKw2aDs/" TargetMode="External"/><Relationship Id="rId27" Type="http://schemas.openxmlformats.org/officeDocument/2006/relationships/hyperlink" Target="https://v.douyin.com/otyMvGOVt44/" TargetMode="External"/><Relationship Id="rId26" Type="http://schemas.openxmlformats.org/officeDocument/2006/relationships/hyperlink" Target="https://v.douyin.com/vEFkVURsq8c/" TargetMode="External"/><Relationship Id="rId25" Type="http://schemas.openxmlformats.org/officeDocument/2006/relationships/hyperlink" Target="https://v.douyin.com/iM2BnUWc/" TargetMode="External"/><Relationship Id="rId24" Type="http://schemas.openxmlformats.org/officeDocument/2006/relationships/hyperlink" Target="https://v.douyin.com/i5WxXkUV/" TargetMode="External"/><Relationship Id="rId23" Type="http://schemas.openxmlformats.org/officeDocument/2006/relationships/hyperlink" Target="https://v.douyin.com/b6GOMqiezVg/" TargetMode="External"/><Relationship Id="rId22" Type="http://schemas.openxmlformats.org/officeDocument/2006/relationships/hyperlink" Target="https://v.douyin.com/Rxq1VX9/" TargetMode="External"/><Relationship Id="rId21" Type="http://schemas.openxmlformats.org/officeDocument/2006/relationships/hyperlink" Target="https://v.douyin.com/8fK-mzMbqx4/ 9@3.com" TargetMode="External"/><Relationship Id="rId20" Type="http://schemas.openxmlformats.org/officeDocument/2006/relationships/hyperlink" Target="https://v.douyin.com/vG6xXKcEm1M/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qtWVvJiFOXw/" TargetMode="External"/><Relationship Id="rId18" Type="http://schemas.openxmlformats.org/officeDocument/2006/relationships/hyperlink" Target="https://v.douyin.com/bmOwXBxZVL0/" TargetMode="External"/><Relationship Id="rId17" Type="http://schemas.openxmlformats.org/officeDocument/2006/relationships/hyperlink" Target="https://v.douyin.com/iR6RY8xk/" TargetMode="External"/><Relationship Id="rId16" Type="http://schemas.openxmlformats.org/officeDocument/2006/relationships/hyperlink" Target="https://v.douyin.com/iSkaX3wK/ 7@4.com" TargetMode="External"/><Relationship Id="rId15" Type="http://schemas.openxmlformats.org/officeDocument/2006/relationships/hyperlink" Target="https://v.douyin.com/iMnTEUEQ/ 5" TargetMode="External"/><Relationship Id="rId14" Type="http://schemas.openxmlformats.org/officeDocument/2006/relationships/hyperlink" Target="https://v.douyin.com/eVfJN5H/" TargetMode="External"/><Relationship Id="rId13" Type="http://schemas.openxmlformats.org/officeDocument/2006/relationships/hyperlink" Target="https://v.douyin.com/eVyoRpH/" TargetMode="External"/><Relationship Id="rId12" Type="http://schemas.openxmlformats.org/officeDocument/2006/relationships/hyperlink" Target="https://v.douyin.com/EoRCNC/" TargetMode="External"/><Relationship Id="rId11" Type="http://schemas.openxmlformats.org/officeDocument/2006/relationships/hyperlink" Target="https://v.douyin.com/A8oV6Rg/" TargetMode="External"/><Relationship Id="rId10" Type="http://schemas.openxmlformats.org/officeDocument/2006/relationships/hyperlink" Target="https://v.douyin.com/ie2bqhF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xhslink.com/m/1X5PzJxj7OU" TargetMode="External"/><Relationship Id="rId98" Type="http://schemas.openxmlformats.org/officeDocument/2006/relationships/hyperlink" Target="https://pgy.xiaohongshu.com/solar/pre-trade/blogger-detail/611d15d0000000000100ad88?track_id=kolSearch_417f4eb217844f4c9e144f13e6dea512&amp;source=Advertiser_Kol" TargetMode="External"/><Relationship Id="rId97" Type="http://schemas.openxmlformats.org/officeDocument/2006/relationships/hyperlink" Target="https://xhslink.com/m/9bw3tqf40tn" TargetMode="External"/><Relationship Id="rId96" Type="http://schemas.openxmlformats.org/officeDocument/2006/relationships/hyperlink" Target="https://www.xiaohongshu.com/user/profile/5abb4021e8ac2b7f7e18a76c" TargetMode="External"/><Relationship Id="rId95" Type="http://schemas.openxmlformats.org/officeDocument/2006/relationships/hyperlink" Target="https://pgy.xiaohongshu.com/solar/pre-trade/blogger-detail/5abb4021e8ac2b7f7e18a76c?track_id=kolSearch_91b40460324143b6abd7c0914a1118ed&amp;source=Advertiser_Kol" TargetMode="External"/><Relationship Id="rId94" Type="http://schemas.openxmlformats.org/officeDocument/2006/relationships/hyperlink" Target="https://pgy.xiaohongshu.com/solar/pre-trade/blogger-detail/664b850500000000070048eb?track_id=" TargetMode="External"/><Relationship Id="rId93" Type="http://schemas.openxmlformats.org/officeDocument/2006/relationships/hyperlink" Target="https://www.xiaohongshu.com/user/profile/664b850500000000070048eb" TargetMode="External"/><Relationship Id="rId92" Type="http://schemas.openxmlformats.org/officeDocument/2006/relationships/hyperlink" Target="https://pgy.xiaohongshu.com/solar/pre-trade/blogger-detail/5f685cfe0000000001007dcb?track_id=" TargetMode="External"/><Relationship Id="rId91" Type="http://schemas.openxmlformats.org/officeDocument/2006/relationships/hyperlink" Target="https://www.xiaohongshu.com/user/profile/5f685cfe0000000001007dcb" TargetMode="External"/><Relationship Id="rId90" Type="http://schemas.openxmlformats.org/officeDocument/2006/relationships/hyperlink" Target="https://pgy.xiaohongshu.com/solar/pre-trade/blogger-detail/5988a08250c4b438e2221e0d?track_id=kolSearch_968f0410d7154a91a274acdd686dea65&amp;source=Advertiser_Kol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www.xiaohongshu.com/user/profile/5988a08250c4b438e2221e0d" TargetMode="External"/><Relationship Id="rId88" Type="http://schemas.openxmlformats.org/officeDocument/2006/relationships/hyperlink" Target="https://pgy.xiaohongshu.com/solar/pre-trade/blogger-detail/63135ed0000000001200e086?track_id=" TargetMode="External"/><Relationship Id="rId87" Type="http://schemas.openxmlformats.org/officeDocument/2006/relationships/hyperlink" Target="https://xhslink.com/m/5UgcvtObNbD" TargetMode="External"/><Relationship Id="rId86" Type="http://schemas.openxmlformats.org/officeDocument/2006/relationships/hyperlink" Target="https://pgy.xiaohongshu.com/solar/pre-trade/blogger-detail/63a6fc520000000027029c8d?track_id=" TargetMode="External"/><Relationship Id="rId85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84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83" Type="http://schemas.openxmlformats.org/officeDocument/2006/relationships/hyperlink" Target="https://pgy.xiaohongshu.com/solar/pre-trade/blogger-detail/5b5d36c7e8ac2b35b1e6213d?track_id=" TargetMode="External"/><Relationship Id="rId82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81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80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78" Type="http://schemas.openxmlformats.org/officeDocument/2006/relationships/hyperlink" Target="https://pgy.xiaohongshu.com/solar/pre-trade/blogger-detail/5bb1fa139cb8ac00010e9eb6?track_id=" TargetMode="External"/><Relationship Id="rId77" Type="http://schemas.openxmlformats.org/officeDocument/2006/relationships/hyperlink" Target="https://pgy.xiaohongshu.com/solar/pre-trade/blogger-detail/61e6675f0000000010009eae?track_id=" TargetMode="External"/><Relationship Id="rId76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75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74" Type="http://schemas.openxmlformats.org/officeDocument/2006/relationships/hyperlink" Target="https://www.xiaohongshu.com/user/profile/58ca16696a6a69748a40c696" TargetMode="External"/><Relationship Id="rId73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72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71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70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68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67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66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65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64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63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62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61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60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58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57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56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55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54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53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52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1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0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48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47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46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45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44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43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2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1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0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38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37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36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35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34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33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2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1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0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28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27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26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25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24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3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2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1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0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18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17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6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xxy1129xy" TargetMode="External"/><Relationship Id="rId8" Type="http://schemas.openxmlformats.org/officeDocument/2006/relationships/hyperlink" Target="https://live.kuaishou.com/profile/xiaodudu20181208" TargetMode="External"/><Relationship Id="rId7" Type="http://schemas.openxmlformats.org/officeDocument/2006/relationships/hyperlink" Target="https://live.kuaishou.com/profile/Jinbo9805" TargetMode="External"/><Relationship Id="rId6" Type="http://schemas.openxmlformats.org/officeDocument/2006/relationships/hyperlink" Target="https://live.kuaishou.com/profile/3xbn4pn987uua5q" TargetMode="External"/><Relationship Id="rId5" Type="http://schemas.openxmlformats.org/officeDocument/2006/relationships/hyperlink" Target="https://live.kuaishou.com/profile/Dahuangh" TargetMode="External"/><Relationship Id="rId4" Type="http://schemas.openxmlformats.org/officeDocument/2006/relationships/hyperlink" Target="https://live.kuaishou.com/profile/yaner957" TargetMode="External"/><Relationship Id="rId3" Type="http://schemas.openxmlformats.org/officeDocument/2006/relationships/hyperlink" Target="https://live.kuaishou.com/profile/Roududu1998z" TargetMode="External"/><Relationship Id="rId28" Type="http://schemas.openxmlformats.org/officeDocument/2006/relationships/hyperlink" Target="https://v.kuaishou.com/JH0izg3N" TargetMode="External"/><Relationship Id="rId27" Type="http://schemas.openxmlformats.org/officeDocument/2006/relationships/hyperlink" Target="https://v.kuaishou.com/JfESauIY" TargetMode="External"/><Relationship Id="rId26" Type="http://schemas.openxmlformats.org/officeDocument/2006/relationships/hyperlink" Target="https://v.kuaishou.com/nuLqSDG3" TargetMode="External"/><Relationship Id="rId25" Type="http://schemas.openxmlformats.org/officeDocument/2006/relationships/hyperlink" Target="https://v.kuaishou.com/KIJDmKoP" TargetMode="External"/><Relationship Id="rId24" Type="http://schemas.openxmlformats.org/officeDocument/2006/relationships/hyperlink" Target="https://live.kuaishou.com/profile/3xt6e7ftwjievc4" TargetMode="External"/><Relationship Id="rId23" Type="http://schemas.openxmlformats.org/officeDocument/2006/relationships/hyperlink" Target="https://v.kuaishou.com/iTF8WX" TargetMode="External"/><Relationship Id="rId22" Type="http://schemas.openxmlformats.org/officeDocument/2006/relationships/hyperlink" Target="https://v.kuaishou.com/kpTXgm" TargetMode="External"/><Relationship Id="rId21" Type="http://schemas.openxmlformats.org/officeDocument/2006/relationships/hyperlink" Target="https://live.kuaishou.com/profile/Thesmallyear" TargetMode="External"/><Relationship Id="rId20" Type="http://schemas.openxmlformats.org/officeDocument/2006/relationships/hyperlink" Target="https://live.kuaishou.com/profile/ygxdwl666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3xjjzysswd2hqqm" TargetMode="External"/><Relationship Id="rId18" Type="http://schemas.openxmlformats.org/officeDocument/2006/relationships/hyperlink" Target="https://live.kuaishou.com/profile/KK13881688" TargetMode="External"/><Relationship Id="rId17" Type="http://schemas.openxmlformats.org/officeDocument/2006/relationships/hyperlink" Target="https://live.kuaishou.com/profile/A77777774_" TargetMode="External"/><Relationship Id="rId16" Type="http://schemas.openxmlformats.org/officeDocument/2006/relationships/hyperlink" Target="https://live.kuaishou.com/profile/3xqsxy7pk7b3rq9" TargetMode="External"/><Relationship Id="rId15" Type="http://schemas.openxmlformats.org/officeDocument/2006/relationships/hyperlink" Target="https://live.kuaishou.com/profile/xrr888006" TargetMode="External"/><Relationship Id="rId14" Type="http://schemas.openxmlformats.org/officeDocument/2006/relationships/hyperlink" Target="https://live.kuaishou.com/profile/yihang112244" TargetMode="External"/><Relationship Id="rId13" Type="http://schemas.openxmlformats.org/officeDocument/2006/relationships/hyperlink" Target="https://live.kuaishou.com/profile/Xiaxia977" TargetMode="External"/><Relationship Id="rId12" Type="http://schemas.openxmlformats.org/officeDocument/2006/relationships/hyperlink" Target="https://live.kuaishou.com/profile/bigefeixi" TargetMode="External"/><Relationship Id="rId11" Type="http://schemas.openxmlformats.org/officeDocument/2006/relationships/hyperlink" Target="https://live.kuaishou.com/profile/zhousanshi0818" TargetMode="External"/><Relationship Id="rId10" Type="http://schemas.openxmlformats.org/officeDocument/2006/relationships/hyperlink" Target="https://live.kuaishou.com/profile/wutangnaicha23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438538373?spm_id_from=333.337.0.0" TargetMode="External"/><Relationship Id="rId8" Type="http://schemas.openxmlformats.org/officeDocument/2006/relationships/hyperlink" Target="https://space.bilibili.com/686354330?spm_id_from=333.337.0.0" TargetMode="External"/><Relationship Id="rId7" Type="http://schemas.openxmlformats.org/officeDocument/2006/relationships/hyperlink" Target="https://space.bilibili.com/197278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1" Type="http://schemas.openxmlformats.org/officeDocument/2006/relationships/hyperlink" Target="https://space.bilibili.com/3494370374322460?spm_id_from=333.337.0.0" TargetMode="External"/><Relationship Id="rId10" Type="http://schemas.openxmlformats.org/officeDocument/2006/relationships/hyperlink" Target="https://space.bilibili.com/1376579261?spm_id_from=333.337.0.0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6" Type="http://schemas.openxmlformats.org/officeDocument/2006/relationships/hyperlink" Target="https://is.snssdk.com/motor/ugc/profile.html?link_source=share&amp;the_user_id=997944708048468" TargetMode="External"/><Relationship Id="rId5" Type="http://schemas.openxmlformats.org/officeDocument/2006/relationships/hyperlink" Target="https://is.snssdk.com/motor/ugc/profile.html?link_source=share&amp;the_user_id=7320871251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A4Wbyjf/" TargetMode="External"/><Relationship Id="rId8" Type="http://schemas.openxmlformats.org/officeDocument/2006/relationships/hyperlink" Target="https://v.douyin.com/rfgepnY/" TargetMode="External"/><Relationship Id="rId7" Type="http://schemas.openxmlformats.org/officeDocument/2006/relationships/hyperlink" Target="https://v.douyin.com/2W7nbwM/" TargetMode="External"/><Relationship Id="rId6" Type="http://schemas.openxmlformats.org/officeDocument/2006/relationships/hyperlink" Target="https://v.douyin.com/e1dnU3C/" TargetMode="External"/><Relationship Id="rId58" Type="http://schemas.openxmlformats.org/officeDocument/2006/relationships/hyperlink" Target="https://v.douyin.com/LHVzqqbKBpE/" TargetMode="External"/><Relationship Id="rId57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56" Type="http://schemas.openxmlformats.org/officeDocument/2006/relationships/hyperlink" Target="https://v.douyin.com/SfXQxQL349E/ 7@4.com" TargetMode="External"/><Relationship Id="rId55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4" Type="http://schemas.openxmlformats.org/officeDocument/2006/relationships/hyperlink" Target="https://v.douyin.com/NYLLwJm/" TargetMode="External"/><Relationship Id="rId53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2" Type="http://schemas.openxmlformats.org/officeDocument/2006/relationships/hyperlink" Target="https://v.douyin.com/UYCTfS6/" TargetMode="External"/><Relationship Id="rId51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0" Type="http://schemas.openxmlformats.org/officeDocument/2006/relationships/hyperlink" Target="https://v.douyin.com/BbNG319/" TargetMode="External"/><Relationship Id="rId5" Type="http://schemas.openxmlformats.org/officeDocument/2006/relationships/hyperlink" Target="https://v.douyin.com/e1dopKv/" TargetMode="External"/><Relationship Id="rId49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48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47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46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45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44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43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42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41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40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4" Type="http://schemas.openxmlformats.org/officeDocument/2006/relationships/hyperlink" Target="https://v.douyin.com/e18x2s1/" TargetMode="External"/><Relationship Id="rId39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38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37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36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35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34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33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32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31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30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3" Type="http://schemas.openxmlformats.org/officeDocument/2006/relationships/hyperlink" Target="https://v.douyin.com/eaRJPHe/" TargetMode="External"/><Relationship Id="rId29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28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27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26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25" Type="http://schemas.openxmlformats.org/officeDocument/2006/relationships/hyperlink" Target="https://v.douyin.com/JSacLxr/" TargetMode="External"/><Relationship Id="rId24" Type="http://schemas.openxmlformats.org/officeDocument/2006/relationships/hyperlink" Target="https://v.douyin.com/C2FPaiMOprM/" TargetMode="External"/><Relationship Id="rId23" Type="http://schemas.openxmlformats.org/officeDocument/2006/relationships/hyperlink" Target="https://v.douyin.com/iY85wBRt/" TargetMode="External"/><Relationship Id="rId22" Type="http://schemas.openxmlformats.org/officeDocument/2006/relationships/hyperlink" Target="https://v.douyin.com/M3spsCWS4Tc/" TargetMode="External"/><Relationship Id="rId21" Type="http://schemas.openxmlformats.org/officeDocument/2006/relationships/hyperlink" Target="https://v.douyin.com/vP3VmxRgiLI/" TargetMode="External"/><Relationship Id="rId20" Type="http://schemas.openxmlformats.org/officeDocument/2006/relationships/hyperlink" Target="https://v.douyin.com/i8cKAwaa/ 8@0.com" TargetMode="External"/><Relationship Id="rId2" Type="http://schemas.openxmlformats.org/officeDocument/2006/relationships/hyperlink" Target="https://v.douyin.com/88tpRCb/" TargetMode="External"/><Relationship Id="rId19" Type="http://schemas.openxmlformats.org/officeDocument/2006/relationships/hyperlink" Target="https://v.douyin.com/idjuYaHy/" TargetMode="External"/><Relationship Id="rId18" Type="http://schemas.openxmlformats.org/officeDocument/2006/relationships/hyperlink" Target="https://v.douyin.com/iJW1TXLv/" TargetMode="External"/><Relationship Id="rId17" Type="http://schemas.openxmlformats.org/officeDocument/2006/relationships/hyperlink" Target="https://v.douyin.com/FswYnjx/" TargetMode="External"/><Relationship Id="rId16" Type="http://schemas.openxmlformats.org/officeDocument/2006/relationships/hyperlink" Target="https://v.douyin.com/i2nY4afF/" TargetMode="External"/><Relationship Id="rId15" Type="http://schemas.openxmlformats.org/officeDocument/2006/relationships/hyperlink" Target="https://v.douyin.com/nthyDT/" TargetMode="External"/><Relationship Id="rId14" Type="http://schemas.openxmlformats.org/officeDocument/2006/relationships/hyperlink" Target="https://v.douyin.com/i8aCMmDk/" TargetMode="External"/><Relationship Id="rId13" Type="http://schemas.openxmlformats.org/officeDocument/2006/relationships/hyperlink" Target="https://v.douyin.com/eNCkcEU/" TargetMode="External"/><Relationship Id="rId12" Type="http://schemas.openxmlformats.org/officeDocument/2006/relationships/hyperlink" Target="https://v.douyin.com/DDtQneX/" TargetMode="External"/><Relationship Id="rId11" Type="http://schemas.openxmlformats.org/officeDocument/2006/relationships/hyperlink" Target="https://v.douyin.com/yFCq9y3/" TargetMode="External"/><Relationship Id="rId10" Type="http://schemas.openxmlformats.org/officeDocument/2006/relationships/hyperlink" Target="https://v.douyin.com/yNkevye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Q24" sqref="Q24"/>
    </sheetView>
  </sheetViews>
  <sheetFormatPr defaultColWidth="9.81666666666667" defaultRowHeight="16.5"/>
  <cols>
    <col min="1" max="1" width="6" style="251" customWidth="1"/>
    <col min="2" max="6" width="9" style="251"/>
    <col min="7" max="7" width="10.3583333333333" style="251" customWidth="1"/>
    <col min="8" max="8" width="12.6416666666667" style="251" customWidth="1"/>
    <col min="9" max="11" width="9" style="251"/>
    <col min="12" max="12" width="30.5416666666667" style="251" customWidth="1"/>
    <col min="13" max="16379" width="9" style="251"/>
    <col min="16380" max="16384" width="9.81666666666667" style="251"/>
  </cols>
  <sheetData>
    <row r="1" s="251" customFormat="1" ht="30" customHeight="1" spans="1:19">
      <c r="A1" s="252"/>
      <c r="B1" s="253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2"/>
      <c r="N1" s="252"/>
      <c r="O1" s="252"/>
      <c r="P1" s="252"/>
      <c r="Q1" s="252"/>
      <c r="R1" s="252"/>
      <c r="S1" s="252"/>
    </row>
    <row r="2" s="251" customFormat="1" ht="12" customHeight="1" spans="1:19">
      <c r="A2" s="252"/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57"/>
      <c r="M2" s="252"/>
      <c r="N2" s="252"/>
      <c r="O2" s="252"/>
      <c r="P2" s="252"/>
      <c r="Q2" s="252"/>
      <c r="R2" s="252"/>
      <c r="S2" s="252"/>
    </row>
    <row r="3" s="251" customFormat="1" ht="12" customHeight="1" spans="1:19">
      <c r="A3" s="252"/>
      <c r="B3" s="258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52"/>
      <c r="N3" s="252"/>
      <c r="O3" s="252"/>
      <c r="P3" s="252"/>
      <c r="Q3" s="252"/>
      <c r="R3" s="252"/>
      <c r="S3" s="252"/>
    </row>
    <row r="4" s="251" customFormat="1" ht="12" customHeight="1" spans="1:19">
      <c r="A4" s="252"/>
      <c r="B4" s="258"/>
      <c r="C4" s="259"/>
      <c r="D4" s="259"/>
      <c r="E4" s="259"/>
      <c r="F4" s="259"/>
      <c r="G4" s="259"/>
      <c r="H4" s="259"/>
      <c r="I4" s="259"/>
      <c r="J4" s="259"/>
      <c r="K4" s="259"/>
      <c r="L4" s="260"/>
      <c r="M4" s="252"/>
      <c r="N4" s="252"/>
      <c r="O4" s="252"/>
      <c r="P4" s="252"/>
      <c r="Q4" s="252"/>
      <c r="R4" s="252"/>
      <c r="S4" s="252"/>
    </row>
    <row r="5" s="251" customFormat="1" ht="11.15" customHeight="1" spans="1:19">
      <c r="A5" s="252"/>
      <c r="B5" s="258"/>
      <c r="C5" s="259"/>
      <c r="D5" s="259"/>
      <c r="E5" s="259"/>
      <c r="F5" s="259"/>
      <c r="G5" s="259"/>
      <c r="H5" s="259"/>
      <c r="I5" s="259"/>
      <c r="J5" s="259"/>
      <c r="K5" s="259"/>
      <c r="L5" s="260"/>
      <c r="M5" s="252"/>
      <c r="N5" s="252"/>
      <c r="O5" s="252"/>
      <c r="P5" s="252"/>
      <c r="Q5" s="252"/>
      <c r="R5" s="252"/>
      <c r="S5" s="252"/>
    </row>
    <row r="6" s="251" customFormat="1" ht="9" customHeight="1" spans="1:19">
      <c r="A6" s="252"/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60"/>
      <c r="M6" s="252"/>
      <c r="N6" s="252"/>
      <c r="O6" s="252"/>
      <c r="P6" s="252"/>
      <c r="Q6" s="252"/>
      <c r="R6" s="252"/>
      <c r="S6" s="252"/>
    </row>
    <row r="7" s="251" customFormat="1" ht="13" customHeight="1" spans="1:19">
      <c r="A7" s="252"/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60"/>
      <c r="M7" s="252"/>
      <c r="N7" s="252"/>
      <c r="O7" s="252"/>
      <c r="P7" s="252"/>
      <c r="Q7" s="252"/>
      <c r="R7" s="252"/>
      <c r="S7" s="252"/>
    </row>
    <row r="8" s="251" customFormat="1" ht="19" customHeight="1" spans="1:19">
      <c r="A8" s="252"/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60"/>
      <c r="M8" s="252"/>
      <c r="N8" s="252"/>
      <c r="O8" s="252"/>
      <c r="P8" s="252"/>
      <c r="Q8" s="252"/>
      <c r="R8" s="252"/>
      <c r="S8" s="252"/>
    </row>
    <row r="9" s="251" customFormat="1" ht="5" customHeight="1" spans="1:19">
      <c r="A9" s="252"/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60"/>
      <c r="M9" s="252"/>
      <c r="N9" s="252"/>
      <c r="O9" s="252"/>
      <c r="P9" s="252"/>
      <c r="Q9" s="252"/>
      <c r="R9" s="252"/>
      <c r="S9" s="252"/>
    </row>
    <row r="10" s="251" customFormat="1" ht="19" hidden="1" customHeight="1" spans="1:19">
      <c r="A10" s="252"/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60"/>
      <c r="M10" s="252"/>
      <c r="N10" s="252"/>
      <c r="O10" s="252"/>
      <c r="P10" s="252"/>
      <c r="Q10" s="252"/>
      <c r="R10" s="252"/>
      <c r="S10" s="252"/>
    </row>
    <row r="11" s="251" customFormat="1" ht="19" hidden="1" customHeight="1" spans="1:19">
      <c r="A11" s="252"/>
      <c r="B11" s="258"/>
      <c r="C11" s="259"/>
      <c r="D11" s="259"/>
      <c r="E11" s="259"/>
      <c r="F11" s="259"/>
      <c r="G11" s="259"/>
      <c r="H11" s="259"/>
      <c r="I11" s="259"/>
      <c r="J11" s="259"/>
      <c r="K11" s="259"/>
      <c r="L11" s="260"/>
      <c r="M11" s="252"/>
      <c r="N11" s="252"/>
      <c r="O11" s="252"/>
      <c r="P11" s="252"/>
      <c r="Q11" s="252"/>
      <c r="R11" s="252"/>
      <c r="S11" s="252"/>
    </row>
    <row r="12" s="251" customFormat="1" ht="19" hidden="1" customHeight="1" spans="1:19">
      <c r="A12" s="252"/>
      <c r="B12" s="258"/>
      <c r="C12" s="261"/>
      <c r="D12" s="261"/>
      <c r="E12" s="261"/>
      <c r="F12" s="261"/>
      <c r="G12" s="261"/>
      <c r="H12" s="261"/>
      <c r="I12" s="261"/>
      <c r="J12" s="261"/>
      <c r="K12" s="261"/>
      <c r="L12" s="260"/>
      <c r="M12" s="252"/>
      <c r="N12" s="252"/>
      <c r="O12" s="252"/>
      <c r="P12" s="252"/>
      <c r="Q12" s="252"/>
      <c r="R12" s="252"/>
      <c r="S12" s="252"/>
    </row>
    <row r="13" s="251" customFormat="1" ht="39" customHeight="1" spans="1:19">
      <c r="A13" s="252"/>
      <c r="B13" s="258"/>
      <c r="C13" s="261"/>
      <c r="D13" s="261"/>
      <c r="E13" s="261"/>
      <c r="F13" s="261"/>
      <c r="G13" s="261"/>
      <c r="H13" s="261"/>
      <c r="I13" s="261"/>
      <c r="J13" s="261"/>
      <c r="K13" s="261"/>
      <c r="L13" s="260"/>
      <c r="M13" s="252"/>
      <c r="N13" s="252"/>
      <c r="O13" s="252"/>
      <c r="P13" s="252"/>
      <c r="Q13" s="252"/>
      <c r="R13" s="252"/>
      <c r="S13" s="252"/>
    </row>
    <row r="14" s="251" customFormat="1" ht="24" customHeight="1" spans="1:19">
      <c r="A14" s="252"/>
      <c r="B14" s="262"/>
      <c r="C14" s="263"/>
      <c r="D14" s="263"/>
      <c r="E14" s="263"/>
      <c r="F14" s="263"/>
      <c r="G14" s="263"/>
      <c r="H14" s="263"/>
      <c r="I14" s="263"/>
      <c r="J14" s="263"/>
      <c r="K14" s="263"/>
      <c r="L14" s="264"/>
      <c r="M14" s="252"/>
      <c r="N14" s="252"/>
      <c r="O14" s="265"/>
      <c r="P14" s="265"/>
      <c r="Q14" s="252"/>
      <c r="R14" s="252"/>
      <c r="S14" s="252"/>
    </row>
    <row r="15" s="251" customFormat="1" ht="50" customHeight="1" spans="1:19">
      <c r="A15" s="252"/>
      <c r="B15" s="266" t="s">
        <v>1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8"/>
      <c r="M15" s="252"/>
      <c r="N15" s="252"/>
      <c r="O15" s="265"/>
      <c r="P15" s="265"/>
      <c r="Q15" s="252"/>
      <c r="R15" s="252"/>
      <c r="S15" s="252"/>
    </row>
    <row r="16" s="251" customFormat="1" ht="18.75" spans="1:19">
      <c r="A16" s="252"/>
      <c r="B16" s="269" t="s">
        <v>2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52"/>
      <c r="N16" s="252"/>
      <c r="O16" s="265"/>
      <c r="P16" s="265"/>
      <c r="Q16" s="252"/>
      <c r="R16" s="252"/>
      <c r="S16" s="252"/>
    </row>
    <row r="17" s="251" customFormat="1" spans="1:19">
      <c r="A17" s="252"/>
      <c r="B17" s="271" t="s">
        <v>3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3"/>
      <c r="M17" s="252"/>
      <c r="N17" s="252"/>
      <c r="O17" s="265"/>
      <c r="P17" s="265"/>
      <c r="Q17" s="252"/>
      <c r="R17" s="252"/>
      <c r="S17" s="252"/>
    </row>
    <row r="18" s="251" customFormat="1" spans="1:19">
      <c r="A18" s="252"/>
      <c r="B18" s="274"/>
      <c r="C18" s="275"/>
      <c r="D18" s="275"/>
      <c r="E18" s="275"/>
      <c r="F18" s="275"/>
      <c r="G18" s="275"/>
      <c r="H18" s="275"/>
      <c r="I18" s="275"/>
      <c r="J18" s="275"/>
      <c r="K18" s="275"/>
      <c r="L18" s="276"/>
      <c r="M18" s="252"/>
      <c r="N18" s="252"/>
      <c r="O18" s="265"/>
      <c r="P18" s="265"/>
      <c r="Q18" s="252"/>
      <c r="R18" s="252"/>
      <c r="S18" s="252"/>
    </row>
    <row r="19" s="251" customFormat="1" spans="1:19">
      <c r="A19" s="252"/>
      <c r="B19" s="274"/>
      <c r="C19" s="275"/>
      <c r="D19" s="275"/>
      <c r="E19" s="275"/>
      <c r="F19" s="275"/>
      <c r="G19" s="275"/>
      <c r="H19" s="275"/>
      <c r="I19" s="275"/>
      <c r="J19" s="275"/>
      <c r="K19" s="275"/>
      <c r="L19" s="276"/>
      <c r="M19" s="252"/>
      <c r="N19" s="252"/>
      <c r="O19" s="252"/>
      <c r="P19" s="252"/>
      <c r="Q19" s="252"/>
      <c r="R19" s="252"/>
      <c r="S19" s="252"/>
    </row>
    <row r="20" s="251" customFormat="1" spans="1:19">
      <c r="A20" s="252"/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6"/>
      <c r="M20" s="252"/>
      <c r="N20" s="252"/>
      <c r="O20" s="252"/>
      <c r="P20" s="252"/>
      <c r="Q20" s="252"/>
      <c r="R20" s="252"/>
      <c r="S20" s="252"/>
    </row>
    <row r="21" s="251" customFormat="1" spans="1:19">
      <c r="A21" s="252"/>
      <c r="B21" s="274"/>
      <c r="C21" s="275"/>
      <c r="D21" s="275"/>
      <c r="E21" s="275"/>
      <c r="F21" s="275"/>
      <c r="G21" s="275"/>
      <c r="H21" s="275"/>
      <c r="I21" s="275"/>
      <c r="J21" s="275"/>
      <c r="K21" s="275"/>
      <c r="L21" s="276"/>
      <c r="M21" s="252"/>
      <c r="N21" s="252"/>
      <c r="O21" s="252"/>
      <c r="P21" s="252"/>
      <c r="Q21" s="252"/>
      <c r="R21" s="252"/>
      <c r="S21" s="252"/>
    </row>
    <row r="22" s="251" customFormat="1" spans="1:19">
      <c r="A22" s="252"/>
      <c r="B22" s="274"/>
      <c r="C22" s="275"/>
      <c r="D22" s="275"/>
      <c r="E22" s="275"/>
      <c r="F22" s="275"/>
      <c r="G22" s="275"/>
      <c r="H22" s="275"/>
      <c r="I22" s="275"/>
      <c r="J22" s="275"/>
      <c r="K22" s="275"/>
      <c r="L22" s="276"/>
      <c r="M22" s="252"/>
      <c r="N22" s="252"/>
      <c r="O22" s="252"/>
      <c r="P22" s="252"/>
      <c r="Q22" s="252"/>
      <c r="R22" s="252"/>
      <c r="S22" s="252"/>
    </row>
    <row r="23" s="251" customFormat="1" ht="34" customHeight="1" spans="1:19">
      <c r="A23" s="252"/>
      <c r="B23" s="274"/>
      <c r="C23" s="275"/>
      <c r="D23" s="275"/>
      <c r="E23" s="275"/>
      <c r="F23" s="275"/>
      <c r="G23" s="275"/>
      <c r="H23" s="275"/>
      <c r="I23" s="275"/>
      <c r="J23" s="275"/>
      <c r="K23" s="275"/>
      <c r="L23" s="276"/>
      <c r="M23" s="252"/>
      <c r="N23" s="252"/>
      <c r="O23" s="252"/>
      <c r="P23" s="252"/>
      <c r="Q23" s="252"/>
      <c r="R23" s="252"/>
      <c r="S23" s="252"/>
    </row>
    <row r="24" s="251" customFormat="1" ht="19" customHeight="1" spans="1:19">
      <c r="A24" s="252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7"/>
      <c r="M24" s="252"/>
      <c r="N24" s="252"/>
      <c r="O24" s="252"/>
      <c r="P24" s="252"/>
      <c r="Q24" s="252"/>
      <c r="R24" s="252"/>
      <c r="S24" s="252"/>
    </row>
    <row r="25" s="251" customFormat="1" ht="24" customHeight="1" spans="1:19">
      <c r="A25" s="252"/>
      <c r="B25" s="278"/>
      <c r="C25" s="279"/>
      <c r="D25" s="279"/>
      <c r="E25" s="279"/>
      <c r="F25" s="279"/>
      <c r="G25" s="279"/>
      <c r="H25" s="279"/>
      <c r="I25" s="279"/>
      <c r="J25" s="279"/>
      <c r="K25" s="279"/>
      <c r="L25" s="280"/>
      <c r="M25" s="252"/>
      <c r="N25" s="252"/>
      <c r="O25" s="252"/>
      <c r="P25" s="252"/>
      <c r="Q25" s="252"/>
      <c r="R25" s="252"/>
      <c r="S25" s="252"/>
    </row>
    <row r="26" s="251" customFormat="1" ht="17.25" spans="1:19">
      <c r="A26" s="252"/>
      <c r="B26" s="278"/>
      <c r="C26" s="279"/>
      <c r="D26" s="279"/>
      <c r="E26" s="279"/>
      <c r="F26" s="279"/>
      <c r="G26" s="279"/>
      <c r="H26" s="279"/>
      <c r="I26" s="279"/>
      <c r="J26" s="279"/>
      <c r="K26" s="279"/>
      <c r="L26" s="280"/>
      <c r="M26" s="252"/>
      <c r="N26" s="252"/>
      <c r="O26" s="252"/>
      <c r="P26" s="252"/>
      <c r="Q26" s="252"/>
      <c r="R26" s="252"/>
      <c r="S26" s="252"/>
    </row>
    <row r="27" s="251" customFormat="1" ht="18.75" spans="1:19">
      <c r="A27" s="252"/>
      <c r="B27" s="281" t="s">
        <v>4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52"/>
      <c r="N27" s="252"/>
      <c r="O27" s="252"/>
      <c r="P27" s="252"/>
      <c r="Q27" s="252"/>
      <c r="R27" s="252"/>
      <c r="S27" s="252"/>
    </row>
    <row r="28" s="251" customFormat="1" spans="1:19">
      <c r="A28" s="252"/>
      <c r="B28" s="283" t="s">
        <v>5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5"/>
      <c r="M28" s="252"/>
      <c r="N28" s="252"/>
      <c r="O28" s="252"/>
      <c r="P28" s="252"/>
      <c r="Q28" s="252"/>
      <c r="R28" s="252"/>
      <c r="S28" s="252"/>
    </row>
    <row r="29" s="251" customFormat="1" spans="1:19">
      <c r="A29" s="252"/>
      <c r="B29" s="286"/>
      <c r="C29" s="287"/>
      <c r="D29" s="287"/>
      <c r="E29" s="287"/>
      <c r="F29" s="287"/>
      <c r="G29" s="287"/>
      <c r="H29" s="287"/>
      <c r="I29" s="287"/>
      <c r="J29" s="287"/>
      <c r="K29" s="287"/>
      <c r="L29" s="288"/>
      <c r="M29" s="252"/>
      <c r="N29" s="252"/>
      <c r="O29" s="252"/>
      <c r="P29" s="252"/>
      <c r="Q29" s="252"/>
      <c r="R29" s="252"/>
      <c r="S29" s="252"/>
    </row>
    <row r="30" s="251" customFormat="1" spans="1:19">
      <c r="A30" s="252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8"/>
      <c r="M30" s="252"/>
      <c r="N30" s="252"/>
      <c r="O30" s="252"/>
      <c r="P30" s="252"/>
      <c r="Q30" s="252"/>
      <c r="R30" s="252"/>
      <c r="S30" s="252"/>
    </row>
    <row r="31" s="251" customFormat="1" spans="1:19">
      <c r="A31" s="252"/>
      <c r="B31" s="286"/>
      <c r="C31" s="287"/>
      <c r="D31" s="287"/>
      <c r="E31" s="287"/>
      <c r="F31" s="287"/>
      <c r="G31" s="287"/>
      <c r="H31" s="287"/>
      <c r="I31" s="287"/>
      <c r="J31" s="287"/>
      <c r="K31" s="287"/>
      <c r="L31" s="288"/>
      <c r="M31" s="252"/>
      <c r="N31" s="252"/>
      <c r="O31" s="252"/>
      <c r="P31" s="252"/>
      <c r="Q31" s="252"/>
      <c r="R31" s="252"/>
      <c r="S31" s="252"/>
    </row>
    <row r="32" s="251" customFormat="1" spans="1:19">
      <c r="A32" s="252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8"/>
      <c r="M32" s="252"/>
      <c r="N32" s="252"/>
      <c r="O32" s="252"/>
      <c r="P32" s="252"/>
      <c r="Q32" s="252"/>
      <c r="R32" s="252"/>
      <c r="S32" s="252"/>
    </row>
    <row r="33" s="251" customFormat="1" spans="1:19">
      <c r="A33" s="252"/>
      <c r="B33" s="286"/>
      <c r="C33" s="287"/>
      <c r="D33" s="287"/>
      <c r="E33" s="287"/>
      <c r="F33" s="287"/>
      <c r="G33" s="287"/>
      <c r="H33" s="287"/>
      <c r="I33" s="287"/>
      <c r="J33" s="287"/>
      <c r="K33" s="287"/>
      <c r="L33" s="288"/>
      <c r="M33" s="252"/>
      <c r="N33" s="252"/>
      <c r="O33" s="252"/>
      <c r="P33" s="252"/>
      <c r="Q33" s="252"/>
      <c r="R33" s="252"/>
      <c r="S33" s="252"/>
    </row>
    <row r="34" s="251" customFormat="1" spans="1:19">
      <c r="A34" s="252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8"/>
      <c r="M34" s="252"/>
      <c r="N34" s="252"/>
      <c r="O34" s="252"/>
      <c r="P34" s="252"/>
      <c r="Q34" s="252"/>
      <c r="R34" s="252"/>
      <c r="S34" s="252"/>
    </row>
    <row r="35" s="251" customFormat="1" spans="1:19">
      <c r="A35" s="252"/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8"/>
      <c r="M35" s="252"/>
      <c r="N35" s="252"/>
      <c r="O35" s="252"/>
      <c r="P35" s="252"/>
      <c r="Q35" s="252"/>
      <c r="R35" s="252"/>
      <c r="S35" s="252"/>
    </row>
    <row r="36" s="251" customFormat="1" spans="1:19">
      <c r="A36" s="252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8"/>
      <c r="M36" s="252"/>
      <c r="N36" s="252"/>
      <c r="O36" s="252"/>
      <c r="P36" s="252"/>
      <c r="Q36" s="252"/>
      <c r="R36" s="252"/>
      <c r="S36" s="252"/>
    </row>
    <row r="37" s="251" customFormat="1" spans="1:19">
      <c r="A37" s="252"/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8"/>
      <c r="M37" s="252"/>
      <c r="N37" s="252"/>
      <c r="O37" s="252"/>
      <c r="P37" s="252"/>
      <c r="Q37" s="252"/>
      <c r="R37" s="252"/>
      <c r="S37" s="252"/>
    </row>
    <row r="38" s="251" customFormat="1" ht="17.25" spans="1:19">
      <c r="A38" s="252"/>
      <c r="B38" s="289"/>
      <c r="C38" s="290"/>
      <c r="D38" s="290"/>
      <c r="E38" s="290"/>
      <c r="F38" s="290"/>
      <c r="G38" s="290"/>
      <c r="H38" s="290"/>
      <c r="I38" s="290"/>
      <c r="J38" s="290"/>
      <c r="K38" s="290"/>
      <c r="L38" s="291"/>
      <c r="M38" s="252"/>
      <c r="N38" s="252"/>
      <c r="O38" s="252"/>
      <c r="P38" s="252"/>
      <c r="Q38" s="252"/>
      <c r="R38" s="252"/>
      <c r="S38" s="252"/>
    </row>
    <row r="39" s="251" customFormat="1" spans="1:19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</row>
    <row r="40" s="251" customFormat="1" spans="1:19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</row>
    <row r="41" s="251" customFormat="1" spans="1:19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="251" customFormat="1" spans="1:19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</row>
    <row r="43" s="251" customFormat="1" spans="1:19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</row>
    <row r="44" s="251" customFormat="1" spans="1:19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</row>
    <row r="45" s="251" customFormat="1" spans="1:19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</row>
    <row r="46" s="251" customFormat="1" spans="1:19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</row>
    <row r="47" s="251" customFormat="1" spans="1:19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="251" customFormat="1" spans="1:19">
      <c r="A48" s="252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</row>
    <row r="49" s="251" customFormat="1" spans="1:20">
      <c r="A49" s="252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</row>
    <row r="50" s="251" customFormat="1" spans="1:20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</row>
    <row r="51" s="251" customFormat="1" spans="1:20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</row>
    <row r="52" s="251" customFormat="1" spans="1:20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</row>
    <row r="53" s="251" customFormat="1" spans="1:20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</row>
    <row r="54" s="251" customFormat="1" spans="1:20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</row>
    <row r="55" s="251" customFormat="1" spans="1:20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</row>
    <row r="56" s="251" customFormat="1" spans="1:20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</row>
    <row r="57" s="251" customFormat="1" spans="1:20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</row>
    <row r="58" s="251" customFormat="1" spans="1:20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</row>
    <row r="59" s="251" customFormat="1" spans="1:20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</row>
    <row r="60" s="251" customFormat="1" spans="1:20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</row>
    <row r="61" s="251" customFormat="1" spans="1:20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</row>
    <row r="62" s="251" customFormat="1" spans="1:20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</row>
    <row r="63" s="251" customFormat="1" spans="1:20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</row>
    <row r="64" s="251" customFormat="1" spans="1:20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</row>
    <row r="65" s="251" customFormat="1" spans="1:20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</row>
    <row r="66" s="251" customFormat="1" spans="1:20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</row>
    <row r="67" s="251" customFormat="1" spans="1:20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</row>
    <row r="68" s="251" customFormat="1" spans="1:20">
      <c r="A68" s="252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</row>
    <row r="69" s="251" customFormat="1" spans="1:20">
      <c r="A69" s="252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</row>
    <row r="70" s="251" customFormat="1" spans="1:20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="251" customFormat="1" spans="1:20">
      <c r="A71" s="252"/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</row>
    <row r="72" s="251" customFormat="1" spans="1:20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</row>
    <row r="73" s="251" customFormat="1" spans="1:20">
      <c r="A73" s="252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</row>
    <row r="74" spans="1:20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</row>
    <row r="75" spans="1:20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22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E5" sqref="E5"/>
    </sheetView>
  </sheetViews>
  <sheetFormatPr defaultColWidth="9.81666666666667" defaultRowHeight="13.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66" customWidth="1"/>
    <col min="5" max="5" width="47.1083333333333" style="167" customWidth="1"/>
    <col min="6" max="6" width="14" style="1" customWidth="1"/>
    <col min="7" max="7" width="16.6666666666667" style="1" customWidth="1"/>
    <col min="8" max="8" width="16.1916666666667" style="4" customWidth="1"/>
    <col min="9" max="10" width="22.625" style="168" customWidth="1"/>
    <col min="11" max="13" width="8" style="1" customWidth="1"/>
    <col min="14" max="17" width="10.625" style="1" customWidth="1"/>
    <col min="18" max="18" width="15.625" style="158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79" width="9.64166666666667" style="1"/>
    <col min="16380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59" customFormat="1" ht="30" customHeight="1" spans="1:24">
      <c r="A2" s="169" t="s">
        <v>7</v>
      </c>
      <c r="B2" s="170" t="s">
        <v>8</v>
      </c>
      <c r="C2" s="170" t="s">
        <v>9</v>
      </c>
      <c r="D2" s="169" t="s">
        <v>10</v>
      </c>
      <c r="E2" s="171" t="s">
        <v>11</v>
      </c>
      <c r="F2" s="170" t="s">
        <v>12</v>
      </c>
      <c r="G2" s="170" t="s">
        <v>13</v>
      </c>
      <c r="H2" s="169" t="s">
        <v>14</v>
      </c>
      <c r="I2" s="170" t="s">
        <v>15</v>
      </c>
      <c r="J2" s="170" t="s">
        <v>16</v>
      </c>
      <c r="K2" s="172" t="s">
        <v>17</v>
      </c>
      <c r="L2" s="172" t="s">
        <v>18</v>
      </c>
      <c r="M2" s="169" t="s">
        <v>19</v>
      </c>
      <c r="N2" s="169" t="s">
        <v>20</v>
      </c>
      <c r="O2" s="169" t="s">
        <v>21</v>
      </c>
      <c r="P2" s="169" t="s">
        <v>22</v>
      </c>
      <c r="Q2" s="169" t="s">
        <v>23</v>
      </c>
      <c r="R2" s="169" t="s">
        <v>24</v>
      </c>
      <c r="S2" s="169" t="s">
        <v>25</v>
      </c>
      <c r="T2" s="169" t="s">
        <v>26</v>
      </c>
      <c r="U2" s="169" t="s">
        <v>27</v>
      </c>
      <c r="V2" s="169" t="s">
        <v>28</v>
      </c>
      <c r="W2" s="169" t="s">
        <v>29</v>
      </c>
      <c r="X2" s="170" t="s">
        <v>30</v>
      </c>
    </row>
    <row r="3" s="160" customFormat="1" ht="25" customHeight="1" spans="1:24">
      <c r="A3" s="173"/>
      <c r="B3" s="173"/>
      <c r="C3" s="173"/>
      <c r="D3" s="173"/>
      <c r="E3" s="173"/>
      <c r="F3" s="173"/>
      <c r="G3" s="173"/>
      <c r="H3" s="173"/>
      <c r="I3" s="174"/>
      <c r="J3" s="174" t="s">
        <v>31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s="3" customFormat="1" ht="50" customHeight="1" spans="1:24">
      <c r="A4" s="175">
        <v>1</v>
      </c>
      <c r="B4" s="176"/>
      <c r="C4" s="177" t="str">
        <f>_xlfn.DISPIMG("ID_8B1A5379A37A4735923A64D5881D8A37",1)</f>
        <v>=DISPIMG("ID_8B1A5379A37A4735923A64D5881D8A37",1)</v>
      </c>
      <c r="D4" s="61" t="s">
        <v>32</v>
      </c>
      <c r="E4" s="178" t="s">
        <v>33</v>
      </c>
      <c r="F4" s="64">
        <v>47175740457</v>
      </c>
      <c r="G4" s="64" t="s">
        <v>34</v>
      </c>
      <c r="H4" s="64" t="s">
        <v>35</v>
      </c>
      <c r="I4" s="114" t="s">
        <v>36</v>
      </c>
      <c r="J4" s="114" t="s">
        <v>37</v>
      </c>
      <c r="K4" s="152">
        <v>2655.9</v>
      </c>
      <c r="L4" s="152">
        <v>9.3</v>
      </c>
      <c r="M4" s="152">
        <v>0.2</v>
      </c>
      <c r="N4" s="179">
        <v>1800000</v>
      </c>
      <c r="O4" s="179"/>
      <c r="P4" s="179"/>
      <c r="Q4" s="179" t="s">
        <v>38</v>
      </c>
      <c r="R4" s="179" t="s">
        <v>39</v>
      </c>
      <c r="S4" s="179" t="s">
        <v>40</v>
      </c>
      <c r="T4" s="179" t="s">
        <v>41</v>
      </c>
      <c r="U4" s="179" t="s">
        <v>42</v>
      </c>
      <c r="V4" s="114" t="s">
        <v>43</v>
      </c>
      <c r="W4" s="64" t="s">
        <v>44</v>
      </c>
      <c r="X4" s="64" t="s">
        <v>45</v>
      </c>
    </row>
    <row r="5" s="3" customFormat="1" ht="50" customHeight="1" spans="1:24">
      <c r="A5" s="180">
        <v>2</v>
      </c>
      <c r="B5" s="132"/>
      <c r="C5" s="66" t="str">
        <f>_xlfn.DISPIMG("ID_1B287FA49F4D4C84ABAE18518A42102C",1)</f>
        <v>=DISPIMG("ID_1B287FA49F4D4C84ABAE18518A42102C",1)</v>
      </c>
      <c r="D5" s="66" t="s">
        <v>46</v>
      </c>
      <c r="E5" s="181" t="s">
        <v>47</v>
      </c>
      <c r="F5" s="111">
        <v>98930372371</v>
      </c>
      <c r="G5" s="182" t="s">
        <v>48</v>
      </c>
      <c r="H5" s="182" t="s">
        <v>49</v>
      </c>
      <c r="I5" s="107" t="s">
        <v>50</v>
      </c>
      <c r="J5" s="292" t="s">
        <v>51</v>
      </c>
      <c r="K5" s="183">
        <v>39.3</v>
      </c>
      <c r="L5" s="183" t="s">
        <v>40</v>
      </c>
      <c r="M5" s="183" t="s">
        <v>40</v>
      </c>
      <c r="N5" s="151">
        <v>300000</v>
      </c>
      <c r="O5" s="151"/>
      <c r="P5" s="151"/>
      <c r="Q5" s="151" t="s">
        <v>40</v>
      </c>
      <c r="R5" s="184" t="s">
        <v>40</v>
      </c>
      <c r="S5" s="151" t="s">
        <v>40</v>
      </c>
      <c r="T5" s="184" t="s">
        <v>52</v>
      </c>
      <c r="U5" s="184" t="s">
        <v>53</v>
      </c>
      <c r="V5" s="107" t="s">
        <v>54</v>
      </c>
      <c r="W5" s="111" t="s">
        <v>40</v>
      </c>
      <c r="X5" s="111" t="s">
        <v>45</v>
      </c>
    </row>
    <row r="6" s="161" customFormat="1" ht="25" customHeight="1" spans="1:24">
      <c r="A6" s="127"/>
      <c r="B6" s="127"/>
      <c r="C6" s="127"/>
      <c r="D6" s="127"/>
      <c r="E6" s="127"/>
      <c r="F6" s="127"/>
      <c r="G6" s="127"/>
      <c r="H6" s="127"/>
      <c r="I6" s="185"/>
      <c r="J6" s="186" t="s">
        <v>55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="1" customFormat="1" ht="50" customHeight="1" spans="1:24">
      <c r="A7" s="175">
        <v>3</v>
      </c>
      <c r="B7" s="121" t="s">
        <v>56</v>
      </c>
      <c r="C7" s="61" t="str">
        <f>_xlfn.DISPIMG("ID_659725E2044440AC98B018E5EF985A4F",1)</f>
        <v>=DISPIMG("ID_659725E2044440AC98B018E5EF985A4F",1)</v>
      </c>
      <c r="D7" s="61" t="s">
        <v>57</v>
      </c>
      <c r="E7" s="187" t="s">
        <v>58</v>
      </c>
      <c r="F7" s="64" t="s">
        <v>59</v>
      </c>
      <c r="G7" s="64" t="s">
        <v>60</v>
      </c>
      <c r="H7" s="114" t="s">
        <v>61</v>
      </c>
      <c r="I7" s="114" t="s">
        <v>62</v>
      </c>
      <c r="J7" s="293" t="s">
        <v>63</v>
      </c>
      <c r="K7" s="152">
        <v>319.9</v>
      </c>
      <c r="L7" s="152">
        <v>232.8</v>
      </c>
      <c r="M7" s="152">
        <v>9.3</v>
      </c>
      <c r="N7" s="153">
        <v>178000</v>
      </c>
      <c r="O7" s="153">
        <v>220000</v>
      </c>
      <c r="P7" s="153">
        <v>220000</v>
      </c>
      <c r="Q7" s="153" t="s">
        <v>40</v>
      </c>
      <c r="R7" s="179" t="s">
        <v>64</v>
      </c>
      <c r="S7" s="153" t="s">
        <v>40</v>
      </c>
      <c r="T7" s="25" t="s">
        <v>65</v>
      </c>
      <c r="U7" s="25" t="s">
        <v>66</v>
      </c>
      <c r="V7" s="114" t="s">
        <v>67</v>
      </c>
      <c r="W7" s="64" t="s">
        <v>68</v>
      </c>
      <c r="X7" s="64" t="s">
        <v>45</v>
      </c>
    </row>
    <row r="8" s="1" customFormat="1" ht="50" customHeight="1" spans="1:24">
      <c r="A8" s="180">
        <v>4</v>
      </c>
      <c r="B8" s="188" t="s">
        <v>56</v>
      </c>
      <c r="C8" s="189" t="str">
        <f>_xlfn.DISPIMG("ID_B5EF5E77D86345B7A9A6A02B63F067DE",1)</f>
        <v>=DISPIMG("ID_B5EF5E77D86345B7A9A6A02B63F067DE",1)</v>
      </c>
      <c r="D8" s="66" t="s">
        <v>69</v>
      </c>
      <c r="E8" s="181" t="s">
        <v>70</v>
      </c>
      <c r="F8" s="111" t="s">
        <v>71</v>
      </c>
      <c r="G8" s="111" t="s">
        <v>72</v>
      </c>
      <c r="H8" s="111" t="s">
        <v>73</v>
      </c>
      <c r="I8" s="107" t="s">
        <v>74</v>
      </c>
      <c r="J8" s="292" t="s">
        <v>75</v>
      </c>
      <c r="K8" s="183">
        <v>179</v>
      </c>
      <c r="L8" s="183">
        <v>239</v>
      </c>
      <c r="M8" s="183">
        <v>15.4</v>
      </c>
      <c r="N8" s="184">
        <v>160000</v>
      </c>
      <c r="O8" s="184">
        <v>228000</v>
      </c>
      <c r="P8" s="184">
        <v>348000</v>
      </c>
      <c r="Q8" s="184" t="s">
        <v>40</v>
      </c>
      <c r="R8" s="184" t="s">
        <v>40</v>
      </c>
      <c r="S8" s="184" t="s">
        <v>40</v>
      </c>
      <c r="T8" s="184" t="s">
        <v>76</v>
      </c>
      <c r="U8" s="184" t="s">
        <v>77</v>
      </c>
      <c r="V8" s="107" t="s">
        <v>78</v>
      </c>
      <c r="W8" s="111" t="s">
        <v>79</v>
      </c>
      <c r="X8" s="111" t="s">
        <v>45</v>
      </c>
    </row>
    <row r="9" s="1" customFormat="1" ht="50" customHeight="1" spans="1:24">
      <c r="A9" s="190">
        <v>5</v>
      </c>
      <c r="B9" s="121" t="s">
        <v>56</v>
      </c>
      <c r="C9" s="23" t="str">
        <f>_xlfn.DISPIMG("ID_BF25C8DEAD444832BC4991F24EC25453",1)</f>
        <v>=DISPIMG("ID_BF25C8DEAD444832BC4991F24EC25453",1)</v>
      </c>
      <c r="D9" s="23" t="s">
        <v>80</v>
      </c>
      <c r="E9" s="187" t="s">
        <v>81</v>
      </c>
      <c r="F9" s="64" t="s">
        <v>82</v>
      </c>
      <c r="G9" s="64" t="s">
        <v>83</v>
      </c>
      <c r="H9" s="64" t="s">
        <v>84</v>
      </c>
      <c r="I9" s="114" t="s">
        <v>85</v>
      </c>
      <c r="J9" s="293" t="s">
        <v>86</v>
      </c>
      <c r="K9" s="152">
        <v>59.3</v>
      </c>
      <c r="L9" s="152">
        <v>9.9</v>
      </c>
      <c r="M9" s="152">
        <v>0.1</v>
      </c>
      <c r="N9" s="153">
        <v>53000</v>
      </c>
      <c r="O9" s="153">
        <v>58500</v>
      </c>
      <c r="P9" s="153">
        <v>65000</v>
      </c>
      <c r="Q9" s="153" t="s">
        <v>40</v>
      </c>
      <c r="R9" s="179" t="s">
        <v>40</v>
      </c>
      <c r="S9" s="153" t="s">
        <v>40</v>
      </c>
      <c r="T9" s="25" t="s">
        <v>87</v>
      </c>
      <c r="U9" s="25" t="s">
        <v>88</v>
      </c>
      <c r="V9" s="114" t="s">
        <v>89</v>
      </c>
      <c r="W9" s="64" t="s">
        <v>90</v>
      </c>
      <c r="X9" s="64" t="s">
        <v>45</v>
      </c>
    </row>
    <row r="10" s="159" customFormat="1" ht="30" customHeight="1" spans="1:24">
      <c r="A10" s="191"/>
      <c r="B10" s="192"/>
      <c r="C10" s="192"/>
      <c r="D10" s="191"/>
      <c r="E10" s="193"/>
      <c r="F10" s="192"/>
      <c r="G10" s="192"/>
      <c r="H10" s="191"/>
      <c r="I10" s="194"/>
      <c r="J10" s="194" t="s">
        <v>91</v>
      </c>
      <c r="K10" s="195"/>
      <c r="L10" s="195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2"/>
    </row>
    <row r="11" s="3" customFormat="1" ht="50" customHeight="1" spans="1:24">
      <c r="A11" s="180">
        <v>6</v>
      </c>
      <c r="B11" s="132" t="s">
        <v>92</v>
      </c>
      <c r="C11" s="189" t="str">
        <f>_xlfn.DISPIMG("ID_4803E5F9424443B5967CDA7C33CD5D67",1)</f>
        <v>=DISPIMG("ID_4803E5F9424443B5967CDA7C33CD5D67",1)</v>
      </c>
      <c r="D11" s="66" t="s">
        <v>93</v>
      </c>
      <c r="E11" s="181" t="s">
        <v>94</v>
      </c>
      <c r="F11" s="111">
        <v>906176249</v>
      </c>
      <c r="G11" s="182" t="s">
        <v>95</v>
      </c>
      <c r="H11" s="111" t="s">
        <v>96</v>
      </c>
      <c r="I11" s="107" t="s">
        <v>97</v>
      </c>
      <c r="J11" s="292" t="s">
        <v>98</v>
      </c>
      <c r="K11" s="183">
        <v>157.4</v>
      </c>
      <c r="L11" s="183">
        <v>155.9</v>
      </c>
      <c r="M11" s="183">
        <v>3</v>
      </c>
      <c r="N11" s="151">
        <v>320000</v>
      </c>
      <c r="O11" s="151">
        <v>350000</v>
      </c>
      <c r="P11" s="151">
        <v>380000</v>
      </c>
      <c r="Q11" s="151" t="s">
        <v>40</v>
      </c>
      <c r="R11" s="184" t="s">
        <v>40</v>
      </c>
      <c r="S11" s="151" t="s">
        <v>40</v>
      </c>
      <c r="T11" s="184" t="s">
        <v>99</v>
      </c>
      <c r="U11" s="184" t="s">
        <v>100</v>
      </c>
      <c r="V11" s="107" t="s">
        <v>101</v>
      </c>
      <c r="W11" s="111" t="s">
        <v>40</v>
      </c>
      <c r="X11" s="111" t="s">
        <v>45</v>
      </c>
    </row>
    <row r="12" s="3" customFormat="1" ht="50" customHeight="1" spans="1:24">
      <c r="A12" s="190">
        <v>7</v>
      </c>
      <c r="B12" s="121" t="s">
        <v>102</v>
      </c>
      <c r="C12" s="177" t="str">
        <f>_xlfn.DISPIMG("ID_98EF0EE3BD0548999CE698DFD5904591",1)</f>
        <v>=DISPIMG("ID_98EF0EE3BD0548999CE698DFD5904591",1)</v>
      </c>
      <c r="D12" s="61" t="s">
        <v>103</v>
      </c>
      <c r="E12" s="178" t="s">
        <v>104</v>
      </c>
      <c r="F12" s="64">
        <v>25847173020</v>
      </c>
      <c r="G12" s="64" t="s">
        <v>105</v>
      </c>
      <c r="H12" s="64" t="s">
        <v>106</v>
      </c>
      <c r="I12" s="114" t="s">
        <v>107</v>
      </c>
      <c r="J12" s="293" t="s">
        <v>108</v>
      </c>
      <c r="K12" s="152">
        <v>140.4</v>
      </c>
      <c r="L12" s="152">
        <v>177</v>
      </c>
      <c r="M12" s="152">
        <v>14.3</v>
      </c>
      <c r="N12" s="179">
        <v>30000</v>
      </c>
      <c r="O12" s="179">
        <v>40000</v>
      </c>
      <c r="P12" s="179">
        <v>50000</v>
      </c>
      <c r="Q12" s="179">
        <v>100000</v>
      </c>
      <c r="R12" s="179" t="s">
        <v>109</v>
      </c>
      <c r="S12" s="179" t="s">
        <v>40</v>
      </c>
      <c r="T12" s="179" t="s">
        <v>110</v>
      </c>
      <c r="U12" s="179" t="s">
        <v>111</v>
      </c>
      <c r="V12" s="114" t="s">
        <v>112</v>
      </c>
      <c r="W12" s="64" t="s">
        <v>113</v>
      </c>
      <c r="X12" s="64" t="s">
        <v>45</v>
      </c>
    </row>
    <row r="13" s="3" customFormat="1" ht="50" customHeight="1" spans="1:24">
      <c r="A13" s="180">
        <v>8</v>
      </c>
      <c r="B13" s="132" t="s">
        <v>114</v>
      </c>
      <c r="C13" s="66" t="str">
        <f>_xlfn.DISPIMG("ID_B284ADA6329E4ED1A300CD8D71344BAD",1)</f>
        <v>=DISPIMG("ID_B284ADA6329E4ED1A300CD8D71344BAD",1)</v>
      </c>
      <c r="D13" s="66" t="s">
        <v>115</v>
      </c>
      <c r="E13" s="181" t="s">
        <v>116</v>
      </c>
      <c r="F13" s="111">
        <v>67514482</v>
      </c>
      <c r="G13" s="182" t="s">
        <v>117</v>
      </c>
      <c r="H13" s="111" t="s">
        <v>118</v>
      </c>
      <c r="I13" s="107" t="s">
        <v>119</v>
      </c>
      <c r="J13" s="107" t="s">
        <v>120</v>
      </c>
      <c r="K13" s="183">
        <v>208</v>
      </c>
      <c r="L13" s="183">
        <v>133.6</v>
      </c>
      <c r="M13" s="183">
        <v>4.4</v>
      </c>
      <c r="N13" s="151">
        <v>48000</v>
      </c>
      <c r="O13" s="151">
        <v>60000</v>
      </c>
      <c r="P13" s="151">
        <v>70000</v>
      </c>
      <c r="Q13" s="151" t="s">
        <v>40</v>
      </c>
      <c r="R13" s="184" t="s">
        <v>40</v>
      </c>
      <c r="S13" s="151" t="s">
        <v>40</v>
      </c>
      <c r="T13" s="184" t="s">
        <v>121</v>
      </c>
      <c r="U13" s="184" t="s">
        <v>122</v>
      </c>
      <c r="V13" s="107" t="s">
        <v>123</v>
      </c>
      <c r="W13" s="111" t="s">
        <v>124</v>
      </c>
      <c r="X13" s="111" t="s">
        <v>45</v>
      </c>
    </row>
    <row r="14" s="3" customFormat="1" ht="50" customHeight="1" spans="1:24">
      <c r="A14" s="190">
        <v>9</v>
      </c>
      <c r="B14" s="121"/>
      <c r="C14" s="61" t="str">
        <f>_xlfn.DISPIMG("ID_ED073BEACC4B4289BE7B1955B90F4F9B",1)</f>
        <v>=DISPIMG("ID_ED073BEACC4B4289BE7B1955B90F4F9B",1)</v>
      </c>
      <c r="D14" s="61" t="s">
        <v>125</v>
      </c>
      <c r="E14" s="178" t="s">
        <v>126</v>
      </c>
      <c r="F14" s="64">
        <v>979163054</v>
      </c>
      <c r="G14" s="64" t="s">
        <v>127</v>
      </c>
      <c r="H14" s="64" t="s">
        <v>128</v>
      </c>
      <c r="I14" s="64" t="s">
        <v>129</v>
      </c>
      <c r="J14" s="293" t="s">
        <v>130</v>
      </c>
      <c r="K14" s="152">
        <v>166.5</v>
      </c>
      <c r="L14" s="152" t="s">
        <v>40</v>
      </c>
      <c r="M14" s="152">
        <v>43.6</v>
      </c>
      <c r="N14" s="179">
        <v>150000</v>
      </c>
      <c r="O14" s="179">
        <v>150000</v>
      </c>
      <c r="P14" s="179">
        <v>150000</v>
      </c>
      <c r="Q14" s="179" t="s">
        <v>40</v>
      </c>
      <c r="R14" s="179" t="s">
        <v>40</v>
      </c>
      <c r="S14" s="179" t="s">
        <v>40</v>
      </c>
      <c r="T14" s="179" t="s">
        <v>131</v>
      </c>
      <c r="U14" s="179" t="s">
        <v>132</v>
      </c>
      <c r="V14" s="114" t="s">
        <v>133</v>
      </c>
      <c r="W14" s="64" t="s">
        <v>134</v>
      </c>
      <c r="X14" s="64" t="s">
        <v>135</v>
      </c>
    </row>
    <row r="15" s="162" customFormat="1" ht="24" customHeight="1" spans="1:24">
      <c r="A15" s="196"/>
      <c r="B15" s="196"/>
      <c r="C15" s="196"/>
      <c r="D15" s="196"/>
      <c r="E15" s="196"/>
      <c r="F15" s="196"/>
      <c r="G15" s="196"/>
      <c r="H15" s="196"/>
      <c r="I15" s="197"/>
      <c r="J15" s="198" t="s">
        <v>136</v>
      </c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9"/>
      <c r="X15" s="199"/>
    </row>
    <row r="16" s="3" customFormat="1" ht="50" customHeight="1" spans="1:24">
      <c r="A16" s="190">
        <v>10</v>
      </c>
      <c r="B16" s="121" t="s">
        <v>137</v>
      </c>
      <c r="C16" s="200" t="str">
        <f>_xlfn.DISPIMG("ID_58F2FCD39BC540128C7BEAE2A0928024",1)</f>
        <v>=DISPIMG("ID_58F2FCD39BC540128C7BEAE2A0928024",1)</v>
      </c>
      <c r="D16" s="23" t="s">
        <v>138</v>
      </c>
      <c r="E16" s="201" t="s">
        <v>139</v>
      </c>
      <c r="F16" s="13" t="s">
        <v>140</v>
      </c>
      <c r="G16" s="202" t="s">
        <v>117</v>
      </c>
      <c r="H16" s="13" t="s">
        <v>141</v>
      </c>
      <c r="I16" s="16" t="s">
        <v>142</v>
      </c>
      <c r="J16" s="294" t="s">
        <v>143</v>
      </c>
      <c r="K16" s="27">
        <v>203.6</v>
      </c>
      <c r="L16" s="27">
        <v>175.9</v>
      </c>
      <c r="M16" s="27">
        <v>2.9</v>
      </c>
      <c r="N16" s="18">
        <v>60000</v>
      </c>
      <c r="O16" s="18">
        <v>70000</v>
      </c>
      <c r="P16" s="18">
        <v>70000</v>
      </c>
      <c r="Q16" s="18">
        <v>140000</v>
      </c>
      <c r="R16" s="25" t="s">
        <v>144</v>
      </c>
      <c r="S16" s="25" t="s">
        <v>145</v>
      </c>
      <c r="T16" s="25" t="s">
        <v>146</v>
      </c>
      <c r="U16" s="25" t="s">
        <v>147</v>
      </c>
      <c r="V16" s="16" t="s">
        <v>148</v>
      </c>
      <c r="W16" s="13" t="s">
        <v>149</v>
      </c>
      <c r="X16" s="13" t="s">
        <v>45</v>
      </c>
    </row>
    <row r="17" s="3" customFormat="1" ht="50" customHeight="1" spans="1:24">
      <c r="A17" s="203">
        <v>11</v>
      </c>
      <c r="B17" s="204" t="s">
        <v>137</v>
      </c>
      <c r="C17" s="205" t="str">
        <f>_xlfn.DISPIMG("ID_55B6BCB2A7AF4C7DB743E98788BAC790",1)</f>
        <v>=DISPIMG("ID_55B6BCB2A7AF4C7DB743E98788BAC790",1)</v>
      </c>
      <c r="D17" s="206" t="s">
        <v>150</v>
      </c>
      <c r="E17" s="181" t="s">
        <v>151</v>
      </c>
      <c r="F17" s="111">
        <v>97203305600</v>
      </c>
      <c r="G17" s="182" t="s">
        <v>152</v>
      </c>
      <c r="H17" s="111" t="s">
        <v>153</v>
      </c>
      <c r="I17" s="107" t="s">
        <v>154</v>
      </c>
      <c r="J17" s="292" t="s">
        <v>155</v>
      </c>
      <c r="K17" s="183">
        <v>22.5</v>
      </c>
      <c r="L17" s="183">
        <v>101.7</v>
      </c>
      <c r="M17" s="183">
        <v>2.4</v>
      </c>
      <c r="N17" s="151">
        <v>16000</v>
      </c>
      <c r="O17" s="151">
        <v>38000</v>
      </c>
      <c r="P17" s="151">
        <v>38000</v>
      </c>
      <c r="Q17" s="151" t="s">
        <v>40</v>
      </c>
      <c r="R17" s="184" t="s">
        <v>40</v>
      </c>
      <c r="S17" s="151" t="s">
        <v>40</v>
      </c>
      <c r="T17" s="184" t="s">
        <v>40</v>
      </c>
      <c r="U17" s="184" t="s">
        <v>40</v>
      </c>
      <c r="V17" s="107" t="s">
        <v>40</v>
      </c>
      <c r="W17" s="111" t="s">
        <v>156</v>
      </c>
      <c r="X17" s="111" t="s">
        <v>45</v>
      </c>
    </row>
    <row r="18" s="3" customFormat="1" ht="50" customHeight="1" spans="1:24">
      <c r="A18" s="190">
        <v>12</v>
      </c>
      <c r="B18" s="121" t="s">
        <v>137</v>
      </c>
      <c r="C18" s="200" t="str">
        <f>_xlfn.DISPIMG("ID_50033B3D41304000BA5BCCBE8CDA6F9D",1)</f>
        <v>=DISPIMG("ID_50033B3D41304000BA5BCCBE8CDA6F9D",1)</v>
      </c>
      <c r="D18" s="23" t="s">
        <v>157</v>
      </c>
      <c r="E18" s="201" t="s">
        <v>158</v>
      </c>
      <c r="F18" s="13">
        <v>62371145628</v>
      </c>
      <c r="G18" s="202" t="s">
        <v>159</v>
      </c>
      <c r="H18" s="13" t="s">
        <v>160</v>
      </c>
      <c r="I18" s="16" t="s">
        <v>161</v>
      </c>
      <c r="J18" s="16" t="s">
        <v>162</v>
      </c>
      <c r="K18" s="27">
        <v>15.6</v>
      </c>
      <c r="L18" s="27">
        <v>276.1</v>
      </c>
      <c r="M18" s="27">
        <v>5.2</v>
      </c>
      <c r="N18" s="18">
        <v>15000</v>
      </c>
      <c r="O18" s="18">
        <v>30000</v>
      </c>
      <c r="P18" s="18">
        <v>30000</v>
      </c>
      <c r="Q18" s="18" t="s">
        <v>40</v>
      </c>
      <c r="R18" s="25" t="s">
        <v>40</v>
      </c>
      <c r="S18" s="18" t="s">
        <v>40</v>
      </c>
      <c r="T18" s="25" t="s">
        <v>163</v>
      </c>
      <c r="U18" s="25" t="s">
        <v>164</v>
      </c>
      <c r="V18" s="16" t="s">
        <v>165</v>
      </c>
      <c r="W18" s="13" t="s">
        <v>166</v>
      </c>
      <c r="X18" s="13" t="s">
        <v>45</v>
      </c>
    </row>
    <row r="19" s="3" customFormat="1" ht="50" customHeight="1" spans="1:24">
      <c r="A19" s="203">
        <v>13</v>
      </c>
      <c r="B19" s="204" t="s">
        <v>137</v>
      </c>
      <c r="C19" s="205" t="str">
        <f>_xlfn.DISPIMG("ID_20EB524645A64250A82E41D66BAD8E4C",1)</f>
        <v>=DISPIMG("ID_20EB524645A64250A82E41D66BAD8E4C",1)</v>
      </c>
      <c r="D19" s="206" t="s">
        <v>167</v>
      </c>
      <c r="E19" s="181" t="s">
        <v>168</v>
      </c>
      <c r="F19" s="111" t="s">
        <v>169</v>
      </c>
      <c r="G19" s="182" t="s">
        <v>170</v>
      </c>
      <c r="H19" s="111" t="s">
        <v>171</v>
      </c>
      <c r="I19" s="107" t="s">
        <v>172</v>
      </c>
      <c r="J19" s="107" t="s">
        <v>173</v>
      </c>
      <c r="K19" s="183">
        <v>110.9</v>
      </c>
      <c r="L19" s="183">
        <v>374.6</v>
      </c>
      <c r="M19" s="183">
        <v>9</v>
      </c>
      <c r="N19" s="151">
        <v>17000</v>
      </c>
      <c r="O19" s="151">
        <v>30000</v>
      </c>
      <c r="P19" s="151">
        <v>40000</v>
      </c>
      <c r="Q19" s="151">
        <v>50000</v>
      </c>
      <c r="R19" s="184" t="s">
        <v>174</v>
      </c>
      <c r="S19" s="151" t="s">
        <v>40</v>
      </c>
      <c r="T19" s="184" t="s">
        <v>175</v>
      </c>
      <c r="U19" s="184" t="s">
        <v>176</v>
      </c>
      <c r="V19" s="107" t="s">
        <v>177</v>
      </c>
      <c r="W19" s="111" t="s">
        <v>178</v>
      </c>
      <c r="X19" s="111" t="s">
        <v>45</v>
      </c>
    </row>
    <row r="20" s="3" customFormat="1" ht="50" customHeight="1" spans="1:24">
      <c r="A20" s="190">
        <v>14</v>
      </c>
      <c r="B20" s="121" t="s">
        <v>137</v>
      </c>
      <c r="C20" s="200" t="str">
        <f>_xlfn.DISPIMG("ID_E612ACA65138477AA6E959FC6871AA0D",1)</f>
        <v>=DISPIMG("ID_E612ACA65138477AA6E959FC6871AA0D",1)</v>
      </c>
      <c r="D20" s="23" t="s">
        <v>179</v>
      </c>
      <c r="E20" s="201" t="s">
        <v>180</v>
      </c>
      <c r="F20" s="13" t="s">
        <v>181</v>
      </c>
      <c r="G20" s="202" t="s">
        <v>182</v>
      </c>
      <c r="H20" s="13" t="s">
        <v>183</v>
      </c>
      <c r="I20" s="16" t="s">
        <v>184</v>
      </c>
      <c r="J20" s="16" t="s">
        <v>185</v>
      </c>
      <c r="K20" s="27">
        <v>80.1</v>
      </c>
      <c r="L20" s="27">
        <v>12.1</v>
      </c>
      <c r="M20" s="27">
        <v>0.2</v>
      </c>
      <c r="N20" s="18">
        <v>50000</v>
      </c>
      <c r="O20" s="18">
        <v>50000</v>
      </c>
      <c r="P20" s="18">
        <v>60000</v>
      </c>
      <c r="Q20" s="18">
        <v>70000</v>
      </c>
      <c r="R20" s="25" t="s">
        <v>186</v>
      </c>
      <c r="S20" s="18" t="s">
        <v>40</v>
      </c>
      <c r="T20" s="25" t="s">
        <v>187</v>
      </c>
      <c r="U20" s="25" t="s">
        <v>188</v>
      </c>
      <c r="V20" s="16" t="s">
        <v>189</v>
      </c>
      <c r="W20" s="13" t="s">
        <v>190</v>
      </c>
      <c r="X20" s="13" t="s">
        <v>45</v>
      </c>
    </row>
    <row r="21" s="3" customFormat="1" ht="50" customHeight="1" spans="1:24">
      <c r="A21" s="203">
        <v>15</v>
      </c>
      <c r="B21" s="204" t="s">
        <v>137</v>
      </c>
      <c r="C21" s="205" t="str">
        <f>_xlfn.DISPIMG("ID_7E536C157BFD4F9ABED710D9123262B6",1)</f>
        <v>=DISPIMG("ID_7E536C157BFD4F9ABED710D9123262B6",1)</v>
      </c>
      <c r="D21" s="206" t="s">
        <v>191</v>
      </c>
      <c r="E21" s="181" t="s">
        <v>192</v>
      </c>
      <c r="F21" s="111" t="s">
        <v>193</v>
      </c>
      <c r="G21" s="182" t="s">
        <v>182</v>
      </c>
      <c r="H21" s="111" t="s">
        <v>194</v>
      </c>
      <c r="I21" s="107" t="s">
        <v>195</v>
      </c>
      <c r="J21" s="107" t="s">
        <v>196</v>
      </c>
      <c r="K21" s="183">
        <v>46.6</v>
      </c>
      <c r="L21" s="183" t="s">
        <v>40</v>
      </c>
      <c r="M21" s="183">
        <v>22.2</v>
      </c>
      <c r="N21" s="151">
        <v>32000</v>
      </c>
      <c r="O21" s="151">
        <v>36000</v>
      </c>
      <c r="P21" s="151">
        <v>45000</v>
      </c>
      <c r="Q21" s="151">
        <v>55000</v>
      </c>
      <c r="R21" s="184" t="s">
        <v>186</v>
      </c>
      <c r="S21" s="151" t="s">
        <v>40</v>
      </c>
      <c r="T21" s="184" t="s">
        <v>197</v>
      </c>
      <c r="U21" s="184" t="s">
        <v>198</v>
      </c>
      <c r="V21" s="107" t="s">
        <v>199</v>
      </c>
      <c r="W21" s="111" t="s">
        <v>200</v>
      </c>
      <c r="X21" s="111" t="s">
        <v>45</v>
      </c>
    </row>
    <row r="22" s="3" customFormat="1" ht="50" customHeight="1" spans="1:24">
      <c r="A22" s="190">
        <v>16</v>
      </c>
      <c r="B22" s="121" t="s">
        <v>137</v>
      </c>
      <c r="C22" s="200" t="str">
        <f>_xlfn.DISPIMG("ID_AE9EE02D9381402A8221747B347CE141",1)</f>
        <v>=DISPIMG("ID_AE9EE02D9381402A8221747B347CE141",1)</v>
      </c>
      <c r="D22" s="23" t="s">
        <v>201</v>
      </c>
      <c r="E22" s="201" t="s">
        <v>202</v>
      </c>
      <c r="F22" s="13" t="s">
        <v>203</v>
      </c>
      <c r="G22" s="202" t="s">
        <v>204</v>
      </c>
      <c r="H22" s="13" t="s">
        <v>205</v>
      </c>
      <c r="I22" s="16" t="s">
        <v>206</v>
      </c>
      <c r="J22" s="16" t="s">
        <v>207</v>
      </c>
      <c r="K22" s="27">
        <v>67.2</v>
      </c>
      <c r="L22" s="27">
        <v>157.2</v>
      </c>
      <c r="M22" s="27">
        <v>3</v>
      </c>
      <c r="N22" s="18">
        <v>25000</v>
      </c>
      <c r="O22" s="18">
        <v>30000</v>
      </c>
      <c r="P22" s="18">
        <v>50000</v>
      </c>
      <c r="Q22" s="18">
        <v>60000</v>
      </c>
      <c r="R22" s="25" t="s">
        <v>186</v>
      </c>
      <c r="S22" s="18" t="s">
        <v>40</v>
      </c>
      <c r="T22" s="25" t="s">
        <v>208</v>
      </c>
      <c r="U22" s="25" t="s">
        <v>209</v>
      </c>
      <c r="V22" s="16" t="s">
        <v>210</v>
      </c>
      <c r="W22" s="13" t="s">
        <v>211</v>
      </c>
      <c r="X22" s="13" t="s">
        <v>45</v>
      </c>
    </row>
    <row r="23" s="3" customFormat="1" ht="50" customHeight="1" spans="1:24">
      <c r="A23" s="203">
        <v>17</v>
      </c>
      <c r="B23" s="204" t="s">
        <v>137</v>
      </c>
      <c r="C23" s="205" t="str">
        <f>_xlfn.DISPIMG("ID_B1AF27D69EFC45A7AFD3F8470C2DF902",1)</f>
        <v>=DISPIMG("ID_B1AF27D69EFC45A7AFD3F8470C2DF902",1)</v>
      </c>
      <c r="D23" s="206" t="s">
        <v>212</v>
      </c>
      <c r="E23" s="181" t="s">
        <v>213</v>
      </c>
      <c r="F23" s="111" t="s">
        <v>214</v>
      </c>
      <c r="G23" s="182" t="s">
        <v>215</v>
      </c>
      <c r="H23" s="111" t="s">
        <v>216</v>
      </c>
      <c r="I23" s="107" t="s">
        <v>217</v>
      </c>
      <c r="J23" s="292" t="s">
        <v>218</v>
      </c>
      <c r="K23" s="183">
        <v>193.2</v>
      </c>
      <c r="L23" s="183">
        <v>90.3</v>
      </c>
      <c r="M23" s="183">
        <v>6.3</v>
      </c>
      <c r="N23" s="151">
        <v>20000</v>
      </c>
      <c r="O23" s="151">
        <v>30000</v>
      </c>
      <c r="P23" s="151">
        <v>40000</v>
      </c>
      <c r="Q23" s="151">
        <v>50000</v>
      </c>
      <c r="R23" s="184" t="s">
        <v>174</v>
      </c>
      <c r="S23" s="151" t="s">
        <v>40</v>
      </c>
      <c r="T23" s="184" t="s">
        <v>219</v>
      </c>
      <c r="U23" s="184" t="s">
        <v>220</v>
      </c>
      <c r="V23" s="107" t="s">
        <v>221</v>
      </c>
      <c r="W23" s="111" t="s">
        <v>222</v>
      </c>
      <c r="X23" s="111" t="s">
        <v>45</v>
      </c>
    </row>
    <row r="24" s="3" customFormat="1" ht="50" customHeight="1" spans="1:24">
      <c r="A24" s="190">
        <v>18</v>
      </c>
      <c r="B24" s="121" t="s">
        <v>137</v>
      </c>
      <c r="C24" s="200" t="str">
        <f>_xlfn.DISPIMG("ID_9313BA33A13741C3997400D039C6FB0D",1)</f>
        <v>=DISPIMG("ID_9313BA33A13741C3997400D039C6FB0D",1)</v>
      </c>
      <c r="D24" s="23" t="s">
        <v>223</v>
      </c>
      <c r="E24" s="201" t="s">
        <v>224</v>
      </c>
      <c r="F24" s="13" t="s">
        <v>225</v>
      </c>
      <c r="G24" s="202" t="s">
        <v>215</v>
      </c>
      <c r="H24" s="13" t="s">
        <v>226</v>
      </c>
      <c r="I24" s="16" t="s">
        <v>227</v>
      </c>
      <c r="J24" s="294" t="s">
        <v>228</v>
      </c>
      <c r="K24" s="27">
        <v>73.4</v>
      </c>
      <c r="L24" s="27">
        <v>388.4</v>
      </c>
      <c r="M24" s="27">
        <v>16.7</v>
      </c>
      <c r="N24" s="18">
        <v>12000</v>
      </c>
      <c r="O24" s="18">
        <v>20000</v>
      </c>
      <c r="P24" s="18">
        <v>25000</v>
      </c>
      <c r="Q24" s="18">
        <v>35000</v>
      </c>
      <c r="R24" s="25" t="s">
        <v>174</v>
      </c>
      <c r="S24" s="18" t="s">
        <v>40</v>
      </c>
      <c r="T24" s="25" t="s">
        <v>229</v>
      </c>
      <c r="U24" s="25" t="s">
        <v>230</v>
      </c>
      <c r="V24" s="16" t="s">
        <v>231</v>
      </c>
      <c r="W24" s="13" t="s">
        <v>232</v>
      </c>
      <c r="X24" s="13" t="s">
        <v>45</v>
      </c>
    </row>
    <row r="25" s="3" customFormat="1" ht="50" customHeight="1" spans="1:24">
      <c r="A25" s="203">
        <v>19</v>
      </c>
      <c r="B25" s="204" t="s">
        <v>233</v>
      </c>
      <c r="C25" s="205" t="str">
        <f>_xlfn.DISPIMG("ID_ACC5A9162EF34D1C82966AE35BC5288E",1)</f>
        <v>=DISPIMG("ID_ACC5A9162EF34D1C82966AE35BC5288E",1)</v>
      </c>
      <c r="D25" s="206" t="s">
        <v>234</v>
      </c>
      <c r="E25" s="181" t="s">
        <v>235</v>
      </c>
      <c r="F25" s="111" t="s">
        <v>236</v>
      </c>
      <c r="G25" s="182" t="s">
        <v>237</v>
      </c>
      <c r="H25" s="111" t="s">
        <v>238</v>
      </c>
      <c r="I25" s="107" t="s">
        <v>239</v>
      </c>
      <c r="J25" s="107" t="s">
        <v>240</v>
      </c>
      <c r="K25" s="183">
        <v>52.3</v>
      </c>
      <c r="L25" s="183">
        <v>298.2</v>
      </c>
      <c r="M25" s="183">
        <v>11.6</v>
      </c>
      <c r="N25" s="151">
        <v>20000</v>
      </c>
      <c r="O25" s="151">
        <v>28000</v>
      </c>
      <c r="P25" s="151">
        <v>30000</v>
      </c>
      <c r="Q25" s="151">
        <v>40000</v>
      </c>
      <c r="R25" s="184" t="s">
        <v>186</v>
      </c>
      <c r="S25" s="151">
        <v>28000</v>
      </c>
      <c r="T25" s="184" t="s">
        <v>241</v>
      </c>
      <c r="U25" s="184" t="s">
        <v>242</v>
      </c>
      <c r="V25" s="107" t="s">
        <v>243</v>
      </c>
      <c r="W25" s="111" t="s">
        <v>244</v>
      </c>
      <c r="X25" s="111" t="s">
        <v>45</v>
      </c>
    </row>
    <row r="26" s="160" customFormat="1" ht="25" customHeight="1" spans="1:24">
      <c r="A26" s="207"/>
      <c r="B26" s="207"/>
      <c r="C26" s="207"/>
      <c r="D26" s="207"/>
      <c r="E26" s="207"/>
      <c r="F26" s="207"/>
      <c r="G26" s="207"/>
      <c r="H26" s="207"/>
      <c r="I26" s="198"/>
      <c r="J26" s="198" t="s">
        <v>245</v>
      </c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</row>
    <row r="27" s="1" customFormat="1" ht="50" customHeight="1" spans="1:24">
      <c r="A27" s="175">
        <v>20</v>
      </c>
      <c r="B27" s="61"/>
      <c r="C27" s="61" t="str">
        <f>_xlfn.DISPIMG("ID_F2465015B1084BD0916D0D4A3FB710D5",1)</f>
        <v>=DISPIMG("ID_F2465015B1084BD0916D0D4A3FB710D5",1)</v>
      </c>
      <c r="D27" s="61" t="s">
        <v>246</v>
      </c>
      <c r="E27" s="178" t="s">
        <v>247</v>
      </c>
      <c r="F27" s="64" t="s">
        <v>248</v>
      </c>
      <c r="G27" s="64" t="s">
        <v>249</v>
      </c>
      <c r="H27" s="64" t="s">
        <v>250</v>
      </c>
      <c r="I27" s="114" t="s">
        <v>251</v>
      </c>
      <c r="J27" s="114" t="s">
        <v>252</v>
      </c>
      <c r="K27" s="152">
        <v>986.2</v>
      </c>
      <c r="L27" s="152">
        <v>639.8</v>
      </c>
      <c r="M27" s="152">
        <v>15.7</v>
      </c>
      <c r="N27" s="153">
        <v>158000</v>
      </c>
      <c r="O27" s="153">
        <v>178000</v>
      </c>
      <c r="P27" s="153">
        <v>188000</v>
      </c>
      <c r="Q27" s="153">
        <v>208000</v>
      </c>
      <c r="R27" s="179" t="s">
        <v>186</v>
      </c>
      <c r="S27" s="153">
        <v>230000</v>
      </c>
      <c r="T27" s="179" t="s">
        <v>253</v>
      </c>
      <c r="U27" s="179" t="s">
        <v>254</v>
      </c>
      <c r="V27" s="114" t="s">
        <v>255</v>
      </c>
      <c r="W27" s="64" t="s">
        <v>256</v>
      </c>
      <c r="X27" s="64" t="s">
        <v>45</v>
      </c>
    </row>
    <row r="28" s="1" customFormat="1" ht="50" customHeight="1" spans="1:24">
      <c r="A28" s="180">
        <v>21</v>
      </c>
      <c r="B28" s="188"/>
      <c r="C28" s="66" t="str">
        <f>_xlfn.DISPIMG("ID_539BCED200DC418DA80390830AE35518",1)</f>
        <v>=DISPIMG("ID_539BCED200DC418DA80390830AE35518",1)</v>
      </c>
      <c r="D28" s="66" t="s">
        <v>257</v>
      </c>
      <c r="E28" s="208" t="s">
        <v>258</v>
      </c>
      <c r="F28" s="111" t="s">
        <v>259</v>
      </c>
      <c r="G28" s="107" t="s">
        <v>249</v>
      </c>
      <c r="H28" s="107" t="s">
        <v>260</v>
      </c>
      <c r="I28" s="107" t="s">
        <v>261</v>
      </c>
      <c r="J28" s="107" t="s">
        <v>262</v>
      </c>
      <c r="K28" s="183">
        <v>558.8</v>
      </c>
      <c r="L28" s="183">
        <v>91.2</v>
      </c>
      <c r="M28" s="183">
        <v>1.6</v>
      </c>
      <c r="N28" s="184">
        <v>128000</v>
      </c>
      <c r="O28" s="184">
        <v>178000</v>
      </c>
      <c r="P28" s="184">
        <v>188000</v>
      </c>
      <c r="Q28" s="184">
        <v>250000</v>
      </c>
      <c r="R28" s="184" t="s">
        <v>186</v>
      </c>
      <c r="S28" s="184">
        <v>180000</v>
      </c>
      <c r="T28" s="184" t="s">
        <v>263</v>
      </c>
      <c r="U28" s="184" t="s">
        <v>264</v>
      </c>
      <c r="V28" s="107" t="s">
        <v>265</v>
      </c>
      <c r="W28" s="111" t="s">
        <v>266</v>
      </c>
      <c r="X28" s="111" t="s">
        <v>45</v>
      </c>
    </row>
    <row r="29" s="1" customFormat="1" ht="50" customHeight="1" spans="1:24">
      <c r="A29" s="175">
        <v>22</v>
      </c>
      <c r="B29" s="61"/>
      <c r="C29" s="61" t="str">
        <f>_xlfn.DISPIMG("ID_1BC942DF6B584A02B1D768100B32EF70",1)</f>
        <v>=DISPIMG("ID_1BC942DF6B584A02B1D768100B32EF70",1)</v>
      </c>
      <c r="D29" s="61" t="s">
        <v>267</v>
      </c>
      <c r="E29" s="178" t="s">
        <v>268</v>
      </c>
      <c r="F29" s="64" t="s">
        <v>269</v>
      </c>
      <c r="G29" s="64" t="s">
        <v>270</v>
      </c>
      <c r="H29" s="64" t="s">
        <v>271</v>
      </c>
      <c r="I29" s="114" t="s">
        <v>272</v>
      </c>
      <c r="J29" s="114" t="s">
        <v>273</v>
      </c>
      <c r="K29" s="152">
        <v>160.4</v>
      </c>
      <c r="L29" s="152">
        <v>323</v>
      </c>
      <c r="M29" s="152">
        <v>10.4</v>
      </c>
      <c r="N29" s="153" t="s">
        <v>40</v>
      </c>
      <c r="O29" s="153">
        <v>98000</v>
      </c>
      <c r="P29" s="153">
        <v>110000</v>
      </c>
      <c r="Q29" s="153">
        <v>130000</v>
      </c>
      <c r="R29" s="179" t="s">
        <v>186</v>
      </c>
      <c r="S29" s="153" t="s">
        <v>40</v>
      </c>
      <c r="T29" s="179" t="s">
        <v>274</v>
      </c>
      <c r="U29" s="179" t="s">
        <v>275</v>
      </c>
      <c r="V29" s="114" t="s">
        <v>276</v>
      </c>
      <c r="W29" s="64" t="s">
        <v>277</v>
      </c>
      <c r="X29" s="64" t="s">
        <v>45</v>
      </c>
    </row>
    <row r="30" s="1" customFormat="1" ht="50" customHeight="1" spans="1:24">
      <c r="A30" s="180">
        <v>23</v>
      </c>
      <c r="B30" s="188"/>
      <c r="C30" s="66" t="str">
        <f>_xlfn.DISPIMG("ID_318740AF549F4708BB02E02E05CFE37C",1)</f>
        <v>=DISPIMG("ID_318740AF549F4708BB02E02E05CFE37C",1)</v>
      </c>
      <c r="D30" s="66" t="s">
        <v>278</v>
      </c>
      <c r="E30" s="208" t="s">
        <v>279</v>
      </c>
      <c r="F30" s="111" t="s">
        <v>280</v>
      </c>
      <c r="G30" s="107" t="s">
        <v>281</v>
      </c>
      <c r="H30" s="107" t="s">
        <v>282</v>
      </c>
      <c r="I30" s="107" t="s">
        <v>283</v>
      </c>
      <c r="J30" s="107" t="s">
        <v>284</v>
      </c>
      <c r="K30" s="183">
        <v>529.7</v>
      </c>
      <c r="L30" s="183">
        <v>73.5</v>
      </c>
      <c r="M30" s="183">
        <v>1.4</v>
      </c>
      <c r="N30" s="184" t="s">
        <v>40</v>
      </c>
      <c r="O30" s="184">
        <v>268000</v>
      </c>
      <c r="P30" s="184">
        <v>288000</v>
      </c>
      <c r="Q30" s="184">
        <v>350000</v>
      </c>
      <c r="R30" s="184" t="s">
        <v>174</v>
      </c>
      <c r="S30" s="184">
        <v>268000</v>
      </c>
      <c r="T30" s="184" t="s">
        <v>285</v>
      </c>
      <c r="U30" s="184" t="s">
        <v>286</v>
      </c>
      <c r="V30" s="107" t="s">
        <v>287</v>
      </c>
      <c r="W30" s="111" t="s">
        <v>288</v>
      </c>
      <c r="X30" s="111" t="s">
        <v>45</v>
      </c>
    </row>
    <row r="31" s="1" customFormat="1" ht="50" customHeight="1" spans="1:24">
      <c r="A31" s="175">
        <v>24</v>
      </c>
      <c r="B31" s="121" t="s">
        <v>289</v>
      </c>
      <c r="C31" s="61" t="str">
        <f>_xlfn.DISPIMG("ID_95C2B91300C34FAA9155759C7E1FCF38",1)</f>
        <v>=DISPIMG("ID_95C2B91300C34FAA9155759C7E1FCF38",1)</v>
      </c>
      <c r="D31" s="61" t="s">
        <v>290</v>
      </c>
      <c r="E31" s="178" t="s">
        <v>291</v>
      </c>
      <c r="F31" s="64" t="s">
        <v>292</v>
      </c>
      <c r="G31" s="64" t="s">
        <v>293</v>
      </c>
      <c r="H31" s="114" t="s">
        <v>294</v>
      </c>
      <c r="I31" s="114" t="s">
        <v>295</v>
      </c>
      <c r="J31" s="293" t="s">
        <v>296</v>
      </c>
      <c r="K31" s="152">
        <v>770.1</v>
      </c>
      <c r="L31" s="152">
        <v>61.3</v>
      </c>
      <c r="M31" s="152">
        <v>1.7</v>
      </c>
      <c r="N31" s="153">
        <v>80000</v>
      </c>
      <c r="O31" s="153">
        <v>110000</v>
      </c>
      <c r="P31" s="153">
        <v>140000</v>
      </c>
      <c r="Q31" s="153" t="s">
        <v>40</v>
      </c>
      <c r="R31" s="179" t="s">
        <v>297</v>
      </c>
      <c r="S31" s="153" t="s">
        <v>40</v>
      </c>
      <c r="T31" s="179" t="s">
        <v>298</v>
      </c>
      <c r="U31" s="179" t="s">
        <v>299</v>
      </c>
      <c r="V31" s="114" t="s">
        <v>300</v>
      </c>
      <c r="W31" s="64" t="s">
        <v>40</v>
      </c>
      <c r="X31" s="64" t="s">
        <v>301</v>
      </c>
    </row>
    <row r="32" s="1" customFormat="1" ht="50" customHeight="1" spans="1:24">
      <c r="A32" s="180">
        <v>25</v>
      </c>
      <c r="B32" s="188" t="s">
        <v>102</v>
      </c>
      <c r="C32" s="66" t="str">
        <f>_xlfn.DISPIMG("ID_B7B6362E77F24216A24BC824D61B0BF4",1)</f>
        <v>=DISPIMG("ID_B7B6362E77F24216A24BC824D61B0BF4",1)</v>
      </c>
      <c r="D32" s="66" t="s">
        <v>302</v>
      </c>
      <c r="E32" s="208" t="s">
        <v>303</v>
      </c>
      <c r="F32" s="111" t="s">
        <v>304</v>
      </c>
      <c r="G32" s="107" t="s">
        <v>305</v>
      </c>
      <c r="H32" s="107" t="s">
        <v>306</v>
      </c>
      <c r="I32" s="107" t="s">
        <v>307</v>
      </c>
      <c r="J32" s="292" t="s">
        <v>308</v>
      </c>
      <c r="K32" s="183">
        <v>119.7</v>
      </c>
      <c r="L32" s="183">
        <v>80.8</v>
      </c>
      <c r="M32" s="183">
        <v>1.8</v>
      </c>
      <c r="N32" s="184">
        <v>25000</v>
      </c>
      <c r="O32" s="184">
        <v>50000</v>
      </c>
      <c r="P32" s="184">
        <v>80000</v>
      </c>
      <c r="Q32" s="184" t="s">
        <v>40</v>
      </c>
      <c r="R32" s="184" t="s">
        <v>309</v>
      </c>
      <c r="S32" s="184" t="s">
        <v>40</v>
      </c>
      <c r="T32" s="184" t="s">
        <v>310</v>
      </c>
      <c r="U32" s="184" t="s">
        <v>311</v>
      </c>
      <c r="V32" s="107" t="s">
        <v>312</v>
      </c>
      <c r="W32" s="111" t="s">
        <v>313</v>
      </c>
      <c r="X32" s="111" t="s">
        <v>314</v>
      </c>
    </row>
    <row r="33" s="1" customFormat="1" ht="50" customHeight="1" spans="1:24">
      <c r="A33" s="175">
        <v>26</v>
      </c>
      <c r="B33" s="61"/>
      <c r="C33" s="61" t="str">
        <f>_xlfn.DISPIMG("ID_CFC7EBDA34574183B86BA9DB2E6A9DEE",1)</f>
        <v>=DISPIMG("ID_CFC7EBDA34574183B86BA9DB2E6A9DEE",1)</v>
      </c>
      <c r="D33" s="61" t="s">
        <v>315</v>
      </c>
      <c r="E33" s="178" t="s">
        <v>316</v>
      </c>
      <c r="F33" s="64">
        <v>330477638</v>
      </c>
      <c r="G33" s="64" t="s">
        <v>249</v>
      </c>
      <c r="H33" s="64" t="s">
        <v>317</v>
      </c>
      <c r="I33" s="114" t="s">
        <v>318</v>
      </c>
      <c r="J33" s="114" t="s">
        <v>319</v>
      </c>
      <c r="K33" s="152">
        <v>154</v>
      </c>
      <c r="L33" s="152">
        <v>161</v>
      </c>
      <c r="M33" s="152">
        <v>9.1</v>
      </c>
      <c r="N33" s="153" t="s">
        <v>40</v>
      </c>
      <c r="O33" s="153">
        <v>60000</v>
      </c>
      <c r="P33" s="153">
        <v>60000</v>
      </c>
      <c r="Q33" s="153">
        <v>60000</v>
      </c>
      <c r="R33" s="179" t="s">
        <v>174</v>
      </c>
      <c r="S33" s="153">
        <v>60000</v>
      </c>
      <c r="T33" s="179" t="s">
        <v>320</v>
      </c>
      <c r="U33" s="179" t="s">
        <v>321</v>
      </c>
      <c r="V33" s="114" t="s">
        <v>322</v>
      </c>
      <c r="W33" s="64" t="s">
        <v>323</v>
      </c>
      <c r="X33" s="64" t="s">
        <v>45</v>
      </c>
    </row>
    <row r="34" s="1" customFormat="1" ht="50" customHeight="1" spans="1:24">
      <c r="A34" s="180">
        <v>27</v>
      </c>
      <c r="B34" s="188" t="s">
        <v>324</v>
      </c>
      <c r="C34" s="66" t="str">
        <f>_xlfn.DISPIMG("ID_EEC77C4673CE40A2AA11F908ADC8ABA3",1)</f>
        <v>=DISPIMG("ID_EEC77C4673CE40A2AA11F908ADC8ABA3",1)</v>
      </c>
      <c r="D34" s="66" t="s">
        <v>325</v>
      </c>
      <c r="E34" s="208" t="s">
        <v>326</v>
      </c>
      <c r="F34" s="111" t="s">
        <v>327</v>
      </c>
      <c r="G34" s="107" t="s">
        <v>328</v>
      </c>
      <c r="H34" s="111" t="s">
        <v>329</v>
      </c>
      <c r="I34" s="107" t="s">
        <v>330</v>
      </c>
      <c r="J34" s="107" t="s">
        <v>331</v>
      </c>
      <c r="K34" s="183">
        <v>299.6</v>
      </c>
      <c r="L34" s="183">
        <v>43.9</v>
      </c>
      <c r="M34" s="183">
        <v>1.2</v>
      </c>
      <c r="N34" s="184">
        <v>35000</v>
      </c>
      <c r="O34" s="184">
        <v>55000</v>
      </c>
      <c r="P34" s="184">
        <v>60000</v>
      </c>
      <c r="Q34" s="184" t="s">
        <v>40</v>
      </c>
      <c r="R34" s="184" t="s">
        <v>40</v>
      </c>
      <c r="S34" s="184" t="s">
        <v>40</v>
      </c>
      <c r="T34" s="184" t="s">
        <v>274</v>
      </c>
      <c r="U34" s="184" t="s">
        <v>332</v>
      </c>
      <c r="V34" s="107" t="s">
        <v>333</v>
      </c>
      <c r="W34" s="111" t="s">
        <v>334</v>
      </c>
      <c r="X34" s="111" t="s">
        <v>335</v>
      </c>
    </row>
    <row r="35" s="163" customFormat="1" ht="50" customHeight="1" spans="1:24">
      <c r="A35" s="190">
        <v>28</v>
      </c>
      <c r="B35" s="121" t="s">
        <v>102</v>
      </c>
      <c r="C35" s="23" t="str">
        <f>_xlfn.DISPIMG("ID_D54C7699201241D3AFE0050FF29CC82A",1)</f>
        <v>=DISPIMG("ID_D54C7699201241D3AFE0050FF29CC82A",1)</v>
      </c>
      <c r="D35" s="23" t="s">
        <v>336</v>
      </c>
      <c r="E35" s="209" t="s">
        <v>337</v>
      </c>
      <c r="F35" s="13" t="s">
        <v>338</v>
      </c>
      <c r="G35" s="16" t="s">
        <v>339</v>
      </c>
      <c r="H35" s="13" t="s">
        <v>340</v>
      </c>
      <c r="I35" s="16" t="s">
        <v>341</v>
      </c>
      <c r="J35" s="16" t="s">
        <v>342</v>
      </c>
      <c r="K35" s="27">
        <v>160.9</v>
      </c>
      <c r="L35" s="27">
        <v>133.7</v>
      </c>
      <c r="M35" s="27">
        <v>5</v>
      </c>
      <c r="N35" s="25" t="s">
        <v>40</v>
      </c>
      <c r="O35" s="25">
        <v>60000</v>
      </c>
      <c r="P35" s="25">
        <v>60000</v>
      </c>
      <c r="Q35" s="25">
        <v>75000</v>
      </c>
      <c r="R35" s="25" t="s">
        <v>186</v>
      </c>
      <c r="S35" s="25" t="s">
        <v>40</v>
      </c>
      <c r="T35" s="25" t="s">
        <v>343</v>
      </c>
      <c r="U35" s="25" t="s">
        <v>344</v>
      </c>
      <c r="V35" s="16" t="s">
        <v>345</v>
      </c>
      <c r="W35" s="13" t="s">
        <v>346</v>
      </c>
      <c r="X35" s="13" t="s">
        <v>45</v>
      </c>
    </row>
    <row r="36" s="1" customFormat="1" ht="50" customHeight="1" spans="1:24">
      <c r="A36" s="180">
        <v>29</v>
      </c>
      <c r="B36" s="188"/>
      <c r="C36" s="66" t="str">
        <f>_xlfn.DISPIMG("ID_FB5A556B30DF49E09FF76CBE0B110A5E",1)</f>
        <v>=DISPIMG("ID_FB5A556B30DF49E09FF76CBE0B110A5E",1)</v>
      </c>
      <c r="D36" s="66" t="s">
        <v>347</v>
      </c>
      <c r="E36" s="208" t="s">
        <v>348</v>
      </c>
      <c r="F36" s="111" t="s">
        <v>349</v>
      </c>
      <c r="G36" s="107" t="s">
        <v>215</v>
      </c>
      <c r="H36" s="107" t="s">
        <v>350</v>
      </c>
      <c r="I36" s="107" t="s">
        <v>351</v>
      </c>
      <c r="J36" s="292" t="s">
        <v>352</v>
      </c>
      <c r="K36" s="183">
        <v>97.7</v>
      </c>
      <c r="L36" s="183">
        <v>237.5</v>
      </c>
      <c r="M36" s="183">
        <v>6.3</v>
      </c>
      <c r="N36" s="184">
        <v>40000</v>
      </c>
      <c r="O36" s="184">
        <v>45000</v>
      </c>
      <c r="P36" s="184">
        <v>50000</v>
      </c>
      <c r="Q36" s="184" t="s">
        <v>40</v>
      </c>
      <c r="R36" s="184" t="s">
        <v>40</v>
      </c>
      <c r="S36" s="184" t="s">
        <v>40</v>
      </c>
      <c r="T36" s="184" t="s">
        <v>353</v>
      </c>
      <c r="U36" s="184" t="s">
        <v>354</v>
      </c>
      <c r="V36" s="107" t="s">
        <v>355</v>
      </c>
      <c r="W36" s="111" t="s">
        <v>356</v>
      </c>
      <c r="X36" s="111" t="s">
        <v>335</v>
      </c>
    </row>
    <row r="37" s="163" customFormat="1" ht="50" customHeight="1" spans="1:24">
      <c r="A37" s="190">
        <v>30</v>
      </c>
      <c r="B37" s="121"/>
      <c r="C37" s="23" t="str">
        <f>_xlfn.DISPIMG("ID_F02F4A17A7024B73921EEC930E05E90D",1)</f>
        <v>=DISPIMG("ID_F02F4A17A7024B73921EEC930E05E90D",1)</v>
      </c>
      <c r="D37" s="23" t="s">
        <v>357</v>
      </c>
      <c r="E37" s="209" t="s">
        <v>358</v>
      </c>
      <c r="F37" s="13" t="s">
        <v>359</v>
      </c>
      <c r="G37" s="16" t="s">
        <v>360</v>
      </c>
      <c r="H37" s="13" t="s">
        <v>361</v>
      </c>
      <c r="I37" s="16" t="s">
        <v>362</v>
      </c>
      <c r="J37" s="16" t="s">
        <v>363</v>
      </c>
      <c r="K37" s="27">
        <v>208.3</v>
      </c>
      <c r="L37" s="27">
        <v>85.1</v>
      </c>
      <c r="M37" s="27">
        <v>1.8</v>
      </c>
      <c r="N37" s="25">
        <v>42000</v>
      </c>
      <c r="O37" s="25">
        <v>50000</v>
      </c>
      <c r="P37" s="25">
        <v>55000</v>
      </c>
      <c r="Q37" s="25">
        <v>65000</v>
      </c>
      <c r="R37" s="25" t="s">
        <v>186</v>
      </c>
      <c r="S37" s="25" t="s">
        <v>40</v>
      </c>
      <c r="T37" s="25" t="s">
        <v>364</v>
      </c>
      <c r="U37" s="25" t="s">
        <v>365</v>
      </c>
      <c r="V37" s="16" t="s">
        <v>355</v>
      </c>
      <c r="W37" s="13" t="s">
        <v>366</v>
      </c>
      <c r="X37" s="13" t="s">
        <v>45</v>
      </c>
    </row>
    <row r="38" s="1" customFormat="1" ht="50" customHeight="1" spans="1:24">
      <c r="A38" s="180">
        <v>31</v>
      </c>
      <c r="B38" s="188"/>
      <c r="C38" s="66" t="str">
        <f>_xlfn.DISPIMG("ID_B035946A26694947AAF49A23361CF678",1)</f>
        <v>=DISPIMG("ID_B035946A26694947AAF49A23361CF678",1)</v>
      </c>
      <c r="D38" s="66" t="s">
        <v>367</v>
      </c>
      <c r="E38" s="208" t="s">
        <v>368</v>
      </c>
      <c r="F38" s="111" t="s">
        <v>369</v>
      </c>
      <c r="G38" s="107" t="s">
        <v>370</v>
      </c>
      <c r="H38" s="107" t="s">
        <v>371</v>
      </c>
      <c r="I38" s="107" t="s">
        <v>372</v>
      </c>
      <c r="J38" s="292" t="s">
        <v>373</v>
      </c>
      <c r="K38" s="183">
        <v>51.6</v>
      </c>
      <c r="L38" s="183" t="s">
        <v>40</v>
      </c>
      <c r="M38" s="183" t="s">
        <v>40</v>
      </c>
      <c r="N38" s="184">
        <v>6900</v>
      </c>
      <c r="O38" s="184">
        <v>10000</v>
      </c>
      <c r="P38" s="184">
        <v>10000</v>
      </c>
      <c r="Q38" s="184" t="s">
        <v>40</v>
      </c>
      <c r="R38" s="184" t="s">
        <v>374</v>
      </c>
      <c r="S38" s="184" t="s">
        <v>40</v>
      </c>
      <c r="T38" s="184" t="s">
        <v>375</v>
      </c>
      <c r="U38" s="184" t="s">
        <v>376</v>
      </c>
      <c r="V38" s="107" t="s">
        <v>377</v>
      </c>
      <c r="W38" s="111" t="s">
        <v>40</v>
      </c>
      <c r="X38" s="111" t="s">
        <v>45</v>
      </c>
    </row>
    <row r="39" s="163" customFormat="1" ht="50" customHeight="1" spans="1:24">
      <c r="A39" s="190">
        <v>32</v>
      </c>
      <c r="B39" s="121" t="s">
        <v>102</v>
      </c>
      <c r="C39" s="23" t="str">
        <f>_xlfn.DISPIMG("ID_5E4F5F81837741C6A1580970EA59ABBC",1)</f>
        <v>=DISPIMG("ID_5E4F5F81837741C6A1580970EA59ABBC",1)</v>
      </c>
      <c r="D39" s="23" t="s">
        <v>378</v>
      </c>
      <c r="E39" s="209" t="s">
        <v>379</v>
      </c>
      <c r="F39" s="13" t="s">
        <v>380</v>
      </c>
      <c r="G39" s="16" t="s">
        <v>381</v>
      </c>
      <c r="H39" s="13" t="s">
        <v>382</v>
      </c>
      <c r="I39" s="27" t="s">
        <v>383</v>
      </c>
      <c r="J39" s="16" t="s">
        <v>40</v>
      </c>
      <c r="K39" s="27">
        <v>9.8</v>
      </c>
      <c r="L39" s="27">
        <v>105.9</v>
      </c>
      <c r="M39" s="27">
        <v>0.9</v>
      </c>
      <c r="N39" s="25">
        <v>35000</v>
      </c>
      <c r="O39" s="25">
        <v>80000</v>
      </c>
      <c r="P39" s="25">
        <v>100000</v>
      </c>
      <c r="Q39" s="25" t="s">
        <v>40</v>
      </c>
      <c r="R39" s="25" t="s">
        <v>384</v>
      </c>
      <c r="S39" s="25" t="s">
        <v>40</v>
      </c>
      <c r="T39" s="25" t="s">
        <v>40</v>
      </c>
      <c r="U39" s="25" t="s">
        <v>40</v>
      </c>
      <c r="V39" s="16" t="s">
        <v>40</v>
      </c>
      <c r="W39" s="13" t="s">
        <v>40</v>
      </c>
      <c r="X39" s="13" t="s">
        <v>45</v>
      </c>
    </row>
    <row r="40" s="161" customFormat="1" ht="25" customHeight="1" spans="1:24">
      <c r="A40" s="210"/>
      <c r="B40" s="210"/>
      <c r="C40" s="210"/>
      <c r="D40" s="210"/>
      <c r="E40" s="210"/>
      <c r="F40" s="210"/>
      <c r="G40" s="210"/>
      <c r="H40" s="210"/>
      <c r="I40" s="211"/>
      <c r="J40" s="212" t="s">
        <v>385</v>
      </c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</row>
    <row r="41" s="1" customFormat="1" ht="50" customHeight="1" spans="1:24">
      <c r="A41" s="180">
        <v>33</v>
      </c>
      <c r="B41" s="188" t="s">
        <v>102</v>
      </c>
      <c r="C41" s="66" t="str">
        <f>_xlfn.DISPIMG("ID_13688EB241364A2B81A7EC2777D4A67C",1)</f>
        <v>=DISPIMG("ID_13688EB241364A2B81A7EC2777D4A67C",1)</v>
      </c>
      <c r="D41" s="66" t="s">
        <v>386</v>
      </c>
      <c r="E41" s="208" t="s">
        <v>387</v>
      </c>
      <c r="F41" s="111" t="s">
        <v>388</v>
      </c>
      <c r="G41" s="107" t="s">
        <v>389</v>
      </c>
      <c r="H41" s="111" t="s">
        <v>390</v>
      </c>
      <c r="I41" s="107" t="s">
        <v>391</v>
      </c>
      <c r="J41" s="107" t="s">
        <v>392</v>
      </c>
      <c r="K41" s="183">
        <v>1017.9</v>
      </c>
      <c r="L41" s="183">
        <v>120.1</v>
      </c>
      <c r="M41" s="183">
        <v>14.5</v>
      </c>
      <c r="N41" s="184">
        <v>63200</v>
      </c>
      <c r="O41" s="184">
        <v>158000</v>
      </c>
      <c r="P41" s="184">
        <v>168000</v>
      </c>
      <c r="Q41" s="184">
        <v>178000</v>
      </c>
      <c r="R41" s="184" t="s">
        <v>393</v>
      </c>
      <c r="S41" s="184">
        <v>158000</v>
      </c>
      <c r="T41" s="184" t="s">
        <v>394</v>
      </c>
      <c r="U41" s="184" t="s">
        <v>395</v>
      </c>
      <c r="V41" s="107" t="s">
        <v>396</v>
      </c>
      <c r="W41" s="111" t="s">
        <v>397</v>
      </c>
      <c r="X41" s="111" t="s">
        <v>45</v>
      </c>
    </row>
    <row r="42" s="1" customFormat="1" ht="50" customHeight="1" spans="1:24">
      <c r="A42" s="175">
        <v>34</v>
      </c>
      <c r="B42" s="61"/>
      <c r="C42" s="22" t="str">
        <f>_xlfn.DISPIMG("ID_25CF9ED5D08F4EC3B8261E1D3DA75E6B",1)</f>
        <v>=DISPIMG("ID_25CF9ED5D08F4EC3B8261E1D3DA75E6B",1)</v>
      </c>
      <c r="D42" s="61" t="s">
        <v>398</v>
      </c>
      <c r="E42" s="187" t="s">
        <v>399</v>
      </c>
      <c r="F42" s="64" t="s">
        <v>400</v>
      </c>
      <c r="G42" s="64" t="s">
        <v>389</v>
      </c>
      <c r="H42" s="64" t="s">
        <v>401</v>
      </c>
      <c r="I42" s="114" t="s">
        <v>402</v>
      </c>
      <c r="J42" s="114" t="s">
        <v>403</v>
      </c>
      <c r="K42" s="152">
        <v>122.6</v>
      </c>
      <c r="L42" s="152">
        <v>138.3</v>
      </c>
      <c r="M42" s="152">
        <v>5</v>
      </c>
      <c r="N42" s="153">
        <v>85000</v>
      </c>
      <c r="O42" s="153">
        <v>85000</v>
      </c>
      <c r="P42" s="153">
        <v>95000</v>
      </c>
      <c r="Q42" s="153">
        <v>105000</v>
      </c>
      <c r="R42" s="179" t="s">
        <v>393</v>
      </c>
      <c r="S42" s="153">
        <v>85000</v>
      </c>
      <c r="T42" s="179" t="s">
        <v>404</v>
      </c>
      <c r="U42" s="179" t="s">
        <v>405</v>
      </c>
      <c r="V42" s="114" t="s">
        <v>406</v>
      </c>
      <c r="W42" s="64" t="s">
        <v>407</v>
      </c>
      <c r="X42" s="64" t="s">
        <v>45</v>
      </c>
    </row>
    <row r="43" s="1" customFormat="1" ht="50" customHeight="1" spans="1:24">
      <c r="A43" s="180">
        <v>35</v>
      </c>
      <c r="B43" s="188" t="s">
        <v>289</v>
      </c>
      <c r="C43" s="66" t="str">
        <f>_xlfn.DISPIMG("ID_BBF7812EE29A4163B6F87775E18655EE",1)</f>
        <v>=DISPIMG("ID_BBF7812EE29A4163B6F87775E18655EE",1)</v>
      </c>
      <c r="D43" s="66" t="s">
        <v>408</v>
      </c>
      <c r="E43" s="208" t="s">
        <v>409</v>
      </c>
      <c r="F43" s="111" t="s">
        <v>410</v>
      </c>
      <c r="G43" s="111" t="s">
        <v>411</v>
      </c>
      <c r="H43" s="111" t="s">
        <v>412</v>
      </c>
      <c r="I43" s="111" t="s">
        <v>413</v>
      </c>
      <c r="J43" s="292" t="s">
        <v>414</v>
      </c>
      <c r="K43" s="183">
        <v>212.7</v>
      </c>
      <c r="L43" s="183">
        <v>51.4</v>
      </c>
      <c r="M43" s="183">
        <v>10.5</v>
      </c>
      <c r="N43" s="184">
        <v>40000</v>
      </c>
      <c r="O43" s="184">
        <v>70000</v>
      </c>
      <c r="P43" s="184">
        <v>75000</v>
      </c>
      <c r="Q43" s="184" t="s">
        <v>40</v>
      </c>
      <c r="R43" s="184" t="s">
        <v>415</v>
      </c>
      <c r="S43" s="184" t="s">
        <v>40</v>
      </c>
      <c r="T43" s="184" t="s">
        <v>416</v>
      </c>
      <c r="U43" s="184" t="s">
        <v>417</v>
      </c>
      <c r="V43" s="107" t="s">
        <v>418</v>
      </c>
      <c r="W43" s="111" t="s">
        <v>419</v>
      </c>
      <c r="X43" s="111" t="s">
        <v>420</v>
      </c>
    </row>
    <row r="44" s="1" customFormat="1" ht="50" customHeight="1" spans="1:24">
      <c r="A44" s="175">
        <v>36</v>
      </c>
      <c r="B44" s="61"/>
      <c r="C44" s="22" t="str">
        <f>_xlfn.DISPIMG("ID_7C3D7E093E3A4B48A95896E13A102E73",1)</f>
        <v>=DISPIMG("ID_7C3D7E093E3A4B48A95896E13A102E73",1)</v>
      </c>
      <c r="D44" s="61" t="s">
        <v>421</v>
      </c>
      <c r="E44" s="187" t="s">
        <v>422</v>
      </c>
      <c r="F44" s="64" t="s">
        <v>423</v>
      </c>
      <c r="G44" s="64" t="s">
        <v>424</v>
      </c>
      <c r="H44" s="64" t="s">
        <v>425</v>
      </c>
      <c r="I44" s="114" t="s">
        <v>426</v>
      </c>
      <c r="J44" s="293" t="s">
        <v>427</v>
      </c>
      <c r="K44" s="152">
        <v>443.7</v>
      </c>
      <c r="L44" s="152">
        <v>118.6</v>
      </c>
      <c r="M44" s="152">
        <v>46.4</v>
      </c>
      <c r="N44" s="153">
        <v>70000</v>
      </c>
      <c r="O44" s="153">
        <v>158000</v>
      </c>
      <c r="P44" s="153">
        <v>160000</v>
      </c>
      <c r="Q44" s="153" t="s">
        <v>40</v>
      </c>
      <c r="R44" s="179" t="s">
        <v>428</v>
      </c>
      <c r="S44" s="153" t="s">
        <v>40</v>
      </c>
      <c r="T44" s="179" t="s">
        <v>429</v>
      </c>
      <c r="U44" s="179" t="s">
        <v>430</v>
      </c>
      <c r="V44" s="114" t="s">
        <v>431</v>
      </c>
      <c r="W44" s="64" t="s">
        <v>40</v>
      </c>
      <c r="X44" s="64" t="s">
        <v>432</v>
      </c>
    </row>
    <row r="45" s="1" customFormat="1" ht="50" customHeight="1" spans="1:24">
      <c r="A45" s="203">
        <v>37</v>
      </c>
      <c r="B45" s="213"/>
      <c r="C45" s="205" t="str">
        <f>_xlfn.DISPIMG("ID_C323F5BB57A04391AC291A22669EE708",1)</f>
        <v>=DISPIMG("ID_C323F5BB57A04391AC291A22669EE708",1)</v>
      </c>
      <c r="D45" s="206" t="s">
        <v>433</v>
      </c>
      <c r="E45" s="208" t="s">
        <v>434</v>
      </c>
      <c r="F45" s="111" t="s">
        <v>435</v>
      </c>
      <c r="G45" s="111" t="s">
        <v>436</v>
      </c>
      <c r="H45" s="111" t="s">
        <v>437</v>
      </c>
      <c r="I45" s="107" t="s">
        <v>438</v>
      </c>
      <c r="J45" s="292" t="s">
        <v>439</v>
      </c>
      <c r="K45" s="183">
        <v>91.7</v>
      </c>
      <c r="L45" s="183">
        <v>40.6</v>
      </c>
      <c r="M45" s="183">
        <v>39.5</v>
      </c>
      <c r="N45" s="184">
        <v>60000</v>
      </c>
      <c r="O45" s="184">
        <v>73000</v>
      </c>
      <c r="P45" s="184">
        <v>75000</v>
      </c>
      <c r="Q45" s="184" t="s">
        <v>40</v>
      </c>
      <c r="R45" s="184" t="s">
        <v>440</v>
      </c>
      <c r="S45" s="184">
        <v>75000</v>
      </c>
      <c r="T45" s="184" t="s">
        <v>441</v>
      </c>
      <c r="U45" s="184" t="s">
        <v>442</v>
      </c>
      <c r="V45" s="107" t="s">
        <v>443</v>
      </c>
      <c r="W45" s="111" t="s">
        <v>40</v>
      </c>
      <c r="X45" s="111" t="s">
        <v>432</v>
      </c>
    </row>
    <row r="46" s="1" customFormat="1" ht="50" customHeight="1" spans="1:24">
      <c r="A46" s="175">
        <v>38</v>
      </c>
      <c r="B46" s="61"/>
      <c r="C46" s="22" t="str">
        <f>_xlfn.DISPIMG("ID_2FDA320076F14743B85625DCA4F9F685",1)</f>
        <v>=DISPIMG("ID_2FDA320076F14743B85625DCA4F9F685",1)</v>
      </c>
      <c r="D46" s="61" t="s">
        <v>444</v>
      </c>
      <c r="E46" s="187" t="s">
        <v>445</v>
      </c>
      <c r="F46" s="64" t="s">
        <v>446</v>
      </c>
      <c r="G46" s="64" t="s">
        <v>447</v>
      </c>
      <c r="H46" s="64" t="s">
        <v>448</v>
      </c>
      <c r="I46" s="114" t="s">
        <v>449</v>
      </c>
      <c r="J46" s="293" t="s">
        <v>450</v>
      </c>
      <c r="K46" s="152">
        <v>73.8</v>
      </c>
      <c r="L46" s="152">
        <v>45.9</v>
      </c>
      <c r="M46" s="152">
        <v>38.7</v>
      </c>
      <c r="N46" s="153">
        <v>30000</v>
      </c>
      <c r="O46" s="153">
        <v>38000</v>
      </c>
      <c r="P46" s="153">
        <v>40000</v>
      </c>
      <c r="Q46" s="153" t="s">
        <v>40</v>
      </c>
      <c r="R46" s="179" t="s">
        <v>451</v>
      </c>
      <c r="S46" s="153" t="s">
        <v>40</v>
      </c>
      <c r="T46" s="179" t="s">
        <v>452</v>
      </c>
      <c r="U46" s="179" t="s">
        <v>453</v>
      </c>
      <c r="V46" s="114" t="s">
        <v>454</v>
      </c>
      <c r="W46" s="64" t="s">
        <v>40</v>
      </c>
      <c r="X46" s="64" t="s">
        <v>455</v>
      </c>
    </row>
    <row r="47" s="1" customFormat="1" ht="50" customHeight="1" spans="1:24">
      <c r="A47" s="180">
        <v>39</v>
      </c>
      <c r="B47" s="213"/>
      <c r="C47" s="66" t="str">
        <f>_xlfn.DISPIMG("ID_9EBBD8CC8EE44FD4B15903551B9EDA63",1)</f>
        <v>=DISPIMG("ID_9EBBD8CC8EE44FD4B15903551B9EDA63",1)</v>
      </c>
      <c r="D47" s="66" t="s">
        <v>456</v>
      </c>
      <c r="E47" s="208" t="s">
        <v>457</v>
      </c>
      <c r="F47" s="111" t="s">
        <v>458</v>
      </c>
      <c r="G47" s="111" t="s">
        <v>447</v>
      </c>
      <c r="H47" s="107" t="s">
        <v>459</v>
      </c>
      <c r="I47" s="107" t="s">
        <v>460</v>
      </c>
      <c r="J47" s="292" t="s">
        <v>461</v>
      </c>
      <c r="K47" s="183">
        <v>213.2</v>
      </c>
      <c r="L47" s="183">
        <v>77.7</v>
      </c>
      <c r="M47" s="183" t="s">
        <v>40</v>
      </c>
      <c r="N47" s="184">
        <v>70000</v>
      </c>
      <c r="O47" s="184">
        <v>86000</v>
      </c>
      <c r="P47" s="184">
        <v>88000</v>
      </c>
      <c r="Q47" s="184" t="s">
        <v>40</v>
      </c>
      <c r="R47" s="184" t="s">
        <v>462</v>
      </c>
      <c r="S47" s="184" t="s">
        <v>40</v>
      </c>
      <c r="T47" s="184" t="s">
        <v>463</v>
      </c>
      <c r="U47" s="184" t="s">
        <v>464</v>
      </c>
      <c r="V47" s="107" t="s">
        <v>465</v>
      </c>
      <c r="W47" s="111" t="s">
        <v>466</v>
      </c>
      <c r="X47" s="111" t="s">
        <v>455</v>
      </c>
    </row>
    <row r="48" s="1" customFormat="1" ht="50" customHeight="1" spans="1:24">
      <c r="A48" s="175">
        <v>40</v>
      </c>
      <c r="B48" s="121"/>
      <c r="C48" s="22" t="str">
        <f>_xlfn.DISPIMG("ID_09F1C858463649068DA213FFACF66789",1)</f>
        <v>=DISPIMG("ID_09F1C858463649068DA213FFACF66789",1)</v>
      </c>
      <c r="D48" s="61" t="s">
        <v>467</v>
      </c>
      <c r="E48" s="187" t="s">
        <v>468</v>
      </c>
      <c r="F48" s="64" t="s">
        <v>469</v>
      </c>
      <c r="G48" s="64" t="s">
        <v>470</v>
      </c>
      <c r="H48" s="64" t="s">
        <v>471</v>
      </c>
      <c r="I48" s="114" t="s">
        <v>472</v>
      </c>
      <c r="J48" s="114" t="s">
        <v>473</v>
      </c>
      <c r="K48" s="152">
        <v>163.7</v>
      </c>
      <c r="L48" s="152">
        <v>232.3</v>
      </c>
      <c r="M48" s="152">
        <v>7.7</v>
      </c>
      <c r="N48" s="153">
        <v>32000</v>
      </c>
      <c r="O48" s="153">
        <v>40000</v>
      </c>
      <c r="P48" s="153">
        <v>50000</v>
      </c>
      <c r="Q48" s="153">
        <v>60000</v>
      </c>
      <c r="R48" s="179" t="s">
        <v>393</v>
      </c>
      <c r="S48" s="153">
        <v>40000</v>
      </c>
      <c r="T48" s="179" t="s">
        <v>474</v>
      </c>
      <c r="U48" s="179" t="s">
        <v>475</v>
      </c>
      <c r="V48" s="114" t="s">
        <v>476</v>
      </c>
      <c r="W48" s="64" t="s">
        <v>477</v>
      </c>
      <c r="X48" s="64" t="s">
        <v>45</v>
      </c>
    </row>
    <row r="49" s="1" customFormat="1" ht="50" customHeight="1" spans="1:24">
      <c r="A49" s="180">
        <v>41</v>
      </c>
      <c r="B49" s="213"/>
      <c r="C49" s="189" t="str">
        <f>_xlfn.DISPIMG("ID_4BB75004A5214030A47B0EC4A3C051CB",1)</f>
        <v>=DISPIMG("ID_4BB75004A5214030A47B0EC4A3C051CB",1)</v>
      </c>
      <c r="D49" s="66" t="s">
        <v>478</v>
      </c>
      <c r="E49" s="208" t="s">
        <v>479</v>
      </c>
      <c r="F49" s="111" t="s">
        <v>480</v>
      </c>
      <c r="G49" s="111" t="s">
        <v>470</v>
      </c>
      <c r="H49" s="111" t="s">
        <v>481</v>
      </c>
      <c r="I49" s="107" t="s">
        <v>482</v>
      </c>
      <c r="J49" s="107" t="s">
        <v>483</v>
      </c>
      <c r="K49" s="183">
        <v>125.3</v>
      </c>
      <c r="L49" s="183">
        <v>162.6</v>
      </c>
      <c r="M49" s="183">
        <v>8.5</v>
      </c>
      <c r="N49" s="184">
        <v>25000</v>
      </c>
      <c r="O49" s="184">
        <v>40000</v>
      </c>
      <c r="P49" s="184">
        <v>50000</v>
      </c>
      <c r="Q49" s="184">
        <v>60000</v>
      </c>
      <c r="R49" s="184" t="s">
        <v>393</v>
      </c>
      <c r="S49" s="184">
        <v>40000</v>
      </c>
      <c r="T49" s="184" t="s">
        <v>484</v>
      </c>
      <c r="U49" s="184" t="s">
        <v>485</v>
      </c>
      <c r="V49" s="107" t="s">
        <v>486</v>
      </c>
      <c r="W49" s="111" t="s">
        <v>487</v>
      </c>
      <c r="X49" s="111" t="s">
        <v>45</v>
      </c>
    </row>
    <row r="50" s="1" customFormat="1" ht="50" customHeight="1" spans="1:24">
      <c r="A50" s="175">
        <v>42</v>
      </c>
      <c r="B50" s="121"/>
      <c r="C50" s="22" t="str">
        <f>_xlfn.DISPIMG("ID_91F2DC5D52E6496E824FA789F20CE7C3",1)</f>
        <v>=DISPIMG("ID_91F2DC5D52E6496E824FA789F20CE7C3",1)</v>
      </c>
      <c r="D50" s="61" t="s">
        <v>488</v>
      </c>
      <c r="E50" s="187" t="s">
        <v>489</v>
      </c>
      <c r="F50" s="64">
        <v>5466225</v>
      </c>
      <c r="G50" s="64" t="s">
        <v>490</v>
      </c>
      <c r="H50" s="64" t="s">
        <v>491</v>
      </c>
      <c r="I50" s="114" t="s">
        <v>492</v>
      </c>
      <c r="J50" s="114" t="s">
        <v>493</v>
      </c>
      <c r="K50" s="152">
        <v>57.6</v>
      </c>
      <c r="L50" s="152">
        <v>258.8</v>
      </c>
      <c r="M50" s="152">
        <v>17</v>
      </c>
      <c r="N50" s="153">
        <v>20000</v>
      </c>
      <c r="O50" s="153">
        <v>30000</v>
      </c>
      <c r="P50" s="153">
        <v>40000</v>
      </c>
      <c r="Q50" s="153">
        <v>50000</v>
      </c>
      <c r="R50" s="179" t="s">
        <v>494</v>
      </c>
      <c r="S50" s="153" t="s">
        <v>40</v>
      </c>
      <c r="T50" s="179" t="s">
        <v>495</v>
      </c>
      <c r="U50" s="179" t="s">
        <v>496</v>
      </c>
      <c r="V50" s="114" t="s">
        <v>497</v>
      </c>
      <c r="W50" s="64" t="s">
        <v>498</v>
      </c>
      <c r="X50" s="64" t="s">
        <v>45</v>
      </c>
    </row>
    <row r="51" s="1" customFormat="1" ht="50" customHeight="1" spans="1:24">
      <c r="A51" s="180">
        <v>43</v>
      </c>
      <c r="B51" s="213"/>
      <c r="C51" s="189" t="str">
        <f>_xlfn.DISPIMG("ID_1D344B6954DA404A99AA33F1FE741BC1",1)</f>
        <v>=DISPIMG("ID_1D344B6954DA404A99AA33F1FE741BC1",1)</v>
      </c>
      <c r="D51" s="66" t="s">
        <v>499</v>
      </c>
      <c r="E51" s="208" t="s">
        <v>500</v>
      </c>
      <c r="F51" s="111" t="s">
        <v>501</v>
      </c>
      <c r="G51" s="111" t="s">
        <v>447</v>
      </c>
      <c r="H51" s="111" t="s">
        <v>502</v>
      </c>
      <c r="I51" s="107" t="s">
        <v>503</v>
      </c>
      <c r="J51" s="292" t="s">
        <v>504</v>
      </c>
      <c r="K51" s="183">
        <v>72.2</v>
      </c>
      <c r="L51" s="183">
        <v>374.3</v>
      </c>
      <c r="M51" s="183">
        <v>4.3</v>
      </c>
      <c r="N51" s="184">
        <v>15000</v>
      </c>
      <c r="O51" s="184">
        <v>19000</v>
      </c>
      <c r="P51" s="184">
        <v>23000</v>
      </c>
      <c r="Q51" s="184">
        <v>33000</v>
      </c>
      <c r="R51" s="184" t="s">
        <v>505</v>
      </c>
      <c r="S51" s="184" t="s">
        <v>40</v>
      </c>
      <c r="T51" s="184" t="s">
        <v>506</v>
      </c>
      <c r="U51" s="184" t="s">
        <v>507</v>
      </c>
      <c r="V51" s="107" t="s">
        <v>508</v>
      </c>
      <c r="W51" s="111" t="s">
        <v>509</v>
      </c>
      <c r="X51" s="111" t="s">
        <v>45</v>
      </c>
    </row>
    <row r="52" s="1" customFormat="1" ht="50" customHeight="1" spans="1:24">
      <c r="A52" s="175">
        <v>44</v>
      </c>
      <c r="B52" s="121"/>
      <c r="C52" s="22" t="str">
        <f>_xlfn.DISPIMG("ID_421C6605411A40B4BE082C7CB3D2A79E",1)</f>
        <v>=DISPIMG("ID_421C6605411A40B4BE082C7CB3D2A79E",1)</v>
      </c>
      <c r="D52" s="61" t="s">
        <v>510</v>
      </c>
      <c r="E52" s="187" t="s">
        <v>511</v>
      </c>
      <c r="F52" s="64" t="s">
        <v>512</v>
      </c>
      <c r="G52" s="64" t="s">
        <v>447</v>
      </c>
      <c r="H52" s="64" t="s">
        <v>513</v>
      </c>
      <c r="I52" s="114" t="s">
        <v>514</v>
      </c>
      <c r="J52" s="293" t="s">
        <v>515</v>
      </c>
      <c r="K52" s="152">
        <v>102.3</v>
      </c>
      <c r="L52" s="152" t="s">
        <v>40</v>
      </c>
      <c r="M52" s="152" t="s">
        <v>40</v>
      </c>
      <c r="N52" s="153">
        <v>40000</v>
      </c>
      <c r="O52" s="153">
        <v>60000</v>
      </c>
      <c r="P52" s="153">
        <v>80000</v>
      </c>
      <c r="Q52" s="153">
        <v>80000</v>
      </c>
      <c r="R52" s="179" t="s">
        <v>393</v>
      </c>
      <c r="S52" s="153" t="s">
        <v>40</v>
      </c>
      <c r="T52" s="179" t="s">
        <v>516</v>
      </c>
      <c r="U52" s="179" t="s">
        <v>517</v>
      </c>
      <c r="V52" s="114" t="s">
        <v>518</v>
      </c>
      <c r="W52" s="64" t="s">
        <v>509</v>
      </c>
      <c r="X52" s="64" t="s">
        <v>45</v>
      </c>
    </row>
    <row r="53" s="1" customFormat="1" ht="50" customHeight="1" spans="1:24">
      <c r="A53" s="180">
        <v>45</v>
      </c>
      <c r="B53" s="213"/>
      <c r="C53" s="189" t="str">
        <f>_xlfn.DISPIMG("ID_1AD7FD21BEB54C18981E40DA34D8D2E3",1)</f>
        <v>=DISPIMG("ID_1AD7FD21BEB54C18981E40DA34D8D2E3",1)</v>
      </c>
      <c r="D53" s="66" t="s">
        <v>519</v>
      </c>
      <c r="E53" s="208" t="s">
        <v>520</v>
      </c>
      <c r="F53" s="111" t="s">
        <v>521</v>
      </c>
      <c r="G53" s="111" t="s">
        <v>490</v>
      </c>
      <c r="H53" s="111" t="s">
        <v>522</v>
      </c>
      <c r="I53" s="107" t="s">
        <v>523</v>
      </c>
      <c r="J53" s="107" t="s">
        <v>524</v>
      </c>
      <c r="K53" s="183">
        <v>17.5</v>
      </c>
      <c r="L53" s="183">
        <v>269.6</v>
      </c>
      <c r="M53" s="183">
        <v>10.6</v>
      </c>
      <c r="N53" s="184">
        <v>10000</v>
      </c>
      <c r="O53" s="184">
        <v>18000</v>
      </c>
      <c r="P53" s="184">
        <v>20000</v>
      </c>
      <c r="Q53" s="184">
        <v>30000</v>
      </c>
      <c r="R53" s="184" t="s">
        <v>505</v>
      </c>
      <c r="S53" s="184" t="s">
        <v>40</v>
      </c>
      <c r="T53" s="184" t="s">
        <v>525</v>
      </c>
      <c r="U53" s="184" t="s">
        <v>526</v>
      </c>
      <c r="V53" s="107" t="s">
        <v>527</v>
      </c>
      <c r="W53" s="111" t="s">
        <v>528</v>
      </c>
      <c r="X53" s="111" t="s">
        <v>45</v>
      </c>
    </row>
    <row r="54" s="162" customFormat="1" ht="25" customHeight="1" spans="1:24">
      <c r="A54" s="214"/>
      <c r="B54" s="214"/>
      <c r="C54" s="214"/>
      <c r="D54" s="214"/>
      <c r="E54" s="214"/>
      <c r="F54" s="214"/>
      <c r="G54" s="214"/>
      <c r="H54" s="214"/>
      <c r="I54" s="215"/>
      <c r="J54" s="216" t="s">
        <v>529</v>
      </c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</row>
    <row r="55" s="1" customFormat="1" ht="50" customHeight="1" spans="1:24">
      <c r="A55" s="180">
        <v>46</v>
      </c>
      <c r="B55" s="188" t="s">
        <v>530</v>
      </c>
      <c r="C55" s="66" t="str">
        <f>_xlfn.DISPIMG("ID_A1A5D79D24784993A8D9B3F666EA6192",1)</f>
        <v>=DISPIMG("ID_A1A5D79D24784993A8D9B3F666EA6192",1)</v>
      </c>
      <c r="D55" s="66" t="s">
        <v>531</v>
      </c>
      <c r="E55" s="181" t="s">
        <v>532</v>
      </c>
      <c r="F55" s="111">
        <v>37893373</v>
      </c>
      <c r="G55" s="111" t="s">
        <v>533</v>
      </c>
      <c r="H55" s="107" t="s">
        <v>534</v>
      </c>
      <c r="I55" s="107" t="s">
        <v>535</v>
      </c>
      <c r="J55" s="292" t="s">
        <v>536</v>
      </c>
      <c r="K55" s="183">
        <v>335.6</v>
      </c>
      <c r="L55" s="183">
        <v>162.7</v>
      </c>
      <c r="M55" s="217">
        <v>3.7</v>
      </c>
      <c r="N55" s="184">
        <v>70000</v>
      </c>
      <c r="O55" s="184">
        <v>90000</v>
      </c>
      <c r="P55" s="184">
        <v>90000</v>
      </c>
      <c r="Q55" s="184" t="s">
        <v>40</v>
      </c>
      <c r="R55" s="184" t="s">
        <v>537</v>
      </c>
      <c r="S55" s="184" t="s">
        <v>40</v>
      </c>
      <c r="T55" s="184" t="s">
        <v>538</v>
      </c>
      <c r="U55" s="184" t="s">
        <v>539</v>
      </c>
      <c r="V55" s="107" t="s">
        <v>540</v>
      </c>
      <c r="W55" s="111" t="s">
        <v>541</v>
      </c>
      <c r="X55" s="111" t="s">
        <v>542</v>
      </c>
    </row>
    <row r="56" s="1" customFormat="1" ht="50" customHeight="1" spans="1:24">
      <c r="A56" s="175">
        <v>47</v>
      </c>
      <c r="B56" s="218"/>
      <c r="C56" s="177" t="str">
        <f>_xlfn.DISPIMG("ID_2C935C190FE24B4C8D67824FAA1EEA29",1)</f>
        <v>=DISPIMG("ID_2C935C190FE24B4C8D67824FAA1EEA29",1)</v>
      </c>
      <c r="D56" s="61" t="s">
        <v>543</v>
      </c>
      <c r="E56" s="187" t="s">
        <v>544</v>
      </c>
      <c r="F56" s="64" t="s">
        <v>545</v>
      </c>
      <c r="G56" s="219" t="s">
        <v>533</v>
      </c>
      <c r="H56" s="64" t="s">
        <v>546</v>
      </c>
      <c r="I56" s="114" t="s">
        <v>547</v>
      </c>
      <c r="J56" s="114" t="s">
        <v>548</v>
      </c>
      <c r="K56" s="152">
        <v>191.9</v>
      </c>
      <c r="L56" s="152">
        <v>258.2</v>
      </c>
      <c r="M56" s="152">
        <v>10.7</v>
      </c>
      <c r="N56" s="179">
        <v>35000</v>
      </c>
      <c r="O56" s="179">
        <v>45000</v>
      </c>
      <c r="P56" s="179">
        <v>50000</v>
      </c>
      <c r="Q56" s="179" t="s">
        <v>40</v>
      </c>
      <c r="R56" s="179" t="s">
        <v>186</v>
      </c>
      <c r="S56" s="179" t="s">
        <v>40</v>
      </c>
      <c r="T56" s="179" t="s">
        <v>549</v>
      </c>
      <c r="U56" s="179" t="s">
        <v>550</v>
      </c>
      <c r="V56" s="179" t="s">
        <v>551</v>
      </c>
      <c r="W56" s="64" t="s">
        <v>552</v>
      </c>
      <c r="X56" s="64" t="s">
        <v>45</v>
      </c>
    </row>
    <row r="57" s="1" customFormat="1" ht="50" customHeight="1" spans="1:24">
      <c r="A57" s="180">
        <v>48</v>
      </c>
      <c r="B57" s="220"/>
      <c r="C57" s="189" t="str">
        <f>_xlfn.DISPIMG("ID_7542F921225141E8913F0A8FFA70BFFC",1)</f>
        <v>=DISPIMG("ID_7542F921225141E8913F0A8FFA70BFFC",1)</v>
      </c>
      <c r="D57" s="66" t="s">
        <v>553</v>
      </c>
      <c r="E57" s="181" t="s">
        <v>554</v>
      </c>
      <c r="F57" s="111" t="s">
        <v>555</v>
      </c>
      <c r="G57" s="111" t="s">
        <v>556</v>
      </c>
      <c r="H57" s="111" t="s">
        <v>557</v>
      </c>
      <c r="I57" s="107" t="s">
        <v>558</v>
      </c>
      <c r="J57" s="107" t="s">
        <v>559</v>
      </c>
      <c r="K57" s="183">
        <v>43.6</v>
      </c>
      <c r="L57" s="183">
        <v>66.2</v>
      </c>
      <c r="M57" s="217">
        <v>0.7</v>
      </c>
      <c r="N57" s="184">
        <v>45000</v>
      </c>
      <c r="O57" s="184">
        <v>55000</v>
      </c>
      <c r="P57" s="184">
        <v>75000</v>
      </c>
      <c r="Q57" s="184">
        <v>85000</v>
      </c>
      <c r="R57" s="184" t="s">
        <v>40</v>
      </c>
      <c r="S57" s="184" t="s">
        <v>40</v>
      </c>
      <c r="T57" s="184" t="s">
        <v>560</v>
      </c>
      <c r="U57" s="184" t="s">
        <v>561</v>
      </c>
      <c r="V57" s="107" t="s">
        <v>562</v>
      </c>
      <c r="W57" s="111" t="s">
        <v>563</v>
      </c>
      <c r="X57" s="111" t="s">
        <v>45</v>
      </c>
    </row>
    <row r="58" s="1" customFormat="1" ht="50" customHeight="1" spans="1:24">
      <c r="A58" s="175">
        <v>49</v>
      </c>
      <c r="B58" s="218"/>
      <c r="C58" s="177" t="str">
        <f>_xlfn.DISPIMG("ID_3AEE1533498C42C682BDD6B9C65794AD",1)</f>
        <v>=DISPIMG("ID_3AEE1533498C42C682BDD6B9C65794AD",1)</v>
      </c>
      <c r="D58" s="61" t="s">
        <v>564</v>
      </c>
      <c r="E58" s="187" t="s">
        <v>565</v>
      </c>
      <c r="F58" s="64">
        <v>790814775</v>
      </c>
      <c r="G58" s="64" t="s">
        <v>566</v>
      </c>
      <c r="H58" s="64" t="s">
        <v>567</v>
      </c>
      <c r="I58" s="114" t="s">
        <v>568</v>
      </c>
      <c r="J58" s="114" t="s">
        <v>569</v>
      </c>
      <c r="K58" s="152">
        <v>148.5</v>
      </c>
      <c r="L58" s="152">
        <v>298.1</v>
      </c>
      <c r="M58" s="152">
        <v>2.8</v>
      </c>
      <c r="N58" s="25">
        <v>22000</v>
      </c>
      <c r="O58" s="25">
        <v>25000</v>
      </c>
      <c r="P58" s="25">
        <v>28000</v>
      </c>
      <c r="Q58" s="25">
        <v>35000</v>
      </c>
      <c r="R58" s="25" t="s">
        <v>186</v>
      </c>
      <c r="S58" s="25" t="s">
        <v>40</v>
      </c>
      <c r="T58" s="179" t="s">
        <v>570</v>
      </c>
      <c r="U58" s="179" t="s">
        <v>571</v>
      </c>
      <c r="V58" s="114" t="s">
        <v>572</v>
      </c>
      <c r="W58" s="64" t="s">
        <v>573</v>
      </c>
      <c r="X58" s="64" t="s">
        <v>574</v>
      </c>
    </row>
    <row r="59" s="1" customFormat="1" ht="50" customHeight="1" spans="1:24">
      <c r="A59" s="180">
        <v>50</v>
      </c>
      <c r="B59" s="188" t="s">
        <v>530</v>
      </c>
      <c r="C59" s="66" t="str">
        <f>_xlfn.DISPIMG("ID_17D25C6E6AFC4B4DA27059925412E18A",1)</f>
        <v>=DISPIMG("ID_17D25C6E6AFC4B4DA27059925412E18A",1)</v>
      </c>
      <c r="D59" s="66" t="s">
        <v>575</v>
      </c>
      <c r="E59" s="208" t="s">
        <v>576</v>
      </c>
      <c r="F59" s="111" t="s">
        <v>577</v>
      </c>
      <c r="G59" s="111" t="s">
        <v>566</v>
      </c>
      <c r="H59" s="111" t="s">
        <v>578</v>
      </c>
      <c r="I59" s="107" t="s">
        <v>579</v>
      </c>
      <c r="J59" s="107" t="s">
        <v>580</v>
      </c>
      <c r="K59" s="183">
        <v>52</v>
      </c>
      <c r="L59" s="183">
        <v>291.2</v>
      </c>
      <c r="M59" s="183">
        <v>3.8</v>
      </c>
      <c r="N59" s="184">
        <v>8000</v>
      </c>
      <c r="O59" s="184">
        <v>12000</v>
      </c>
      <c r="P59" s="184">
        <v>15000</v>
      </c>
      <c r="Q59" s="184">
        <v>25000</v>
      </c>
      <c r="R59" s="184" t="s">
        <v>186</v>
      </c>
      <c r="S59" s="184" t="s">
        <v>40</v>
      </c>
      <c r="T59" s="184" t="s">
        <v>581</v>
      </c>
      <c r="U59" s="184" t="s">
        <v>582</v>
      </c>
      <c r="V59" s="107" t="s">
        <v>583</v>
      </c>
      <c r="W59" s="111" t="s">
        <v>584</v>
      </c>
      <c r="X59" s="111" t="s">
        <v>585</v>
      </c>
    </row>
    <row r="60" s="1" customFormat="1" ht="50" customHeight="1" spans="1:24">
      <c r="A60" s="175">
        <v>51</v>
      </c>
      <c r="B60" s="218"/>
      <c r="C60" s="177" t="str">
        <f>_xlfn.DISPIMG("ID_A72D91D1F8AA4E5DB1D578D1F96213F5",1)</f>
        <v>=DISPIMG("ID_A72D91D1F8AA4E5DB1D578D1F96213F5",1)</v>
      </c>
      <c r="D60" s="61" t="s">
        <v>586</v>
      </c>
      <c r="E60" s="178" t="s">
        <v>587</v>
      </c>
      <c r="F60" s="64" t="s">
        <v>588</v>
      </c>
      <c r="G60" s="64" t="s">
        <v>589</v>
      </c>
      <c r="H60" s="64" t="s">
        <v>590</v>
      </c>
      <c r="I60" s="114" t="s">
        <v>591</v>
      </c>
      <c r="J60" s="114" t="s">
        <v>592</v>
      </c>
      <c r="K60" s="152">
        <v>30</v>
      </c>
      <c r="L60" s="152">
        <v>14.7</v>
      </c>
      <c r="M60" s="152">
        <v>0.2</v>
      </c>
      <c r="N60" s="179">
        <v>33000</v>
      </c>
      <c r="O60" s="179">
        <v>37000</v>
      </c>
      <c r="P60" s="179">
        <v>41000</v>
      </c>
      <c r="Q60" s="179">
        <v>51000</v>
      </c>
      <c r="R60" s="179" t="s">
        <v>186</v>
      </c>
      <c r="S60" s="179" t="s">
        <v>40</v>
      </c>
      <c r="T60" s="179" t="s">
        <v>593</v>
      </c>
      <c r="U60" s="179" t="s">
        <v>594</v>
      </c>
      <c r="V60" s="114" t="s">
        <v>595</v>
      </c>
      <c r="W60" s="64" t="s">
        <v>596</v>
      </c>
      <c r="X60" s="64" t="s">
        <v>585</v>
      </c>
    </row>
    <row r="61" s="1" customFormat="1" ht="50" customHeight="1" spans="1:24">
      <c r="A61" s="180">
        <v>52</v>
      </c>
      <c r="B61" s="188"/>
      <c r="C61" s="66" t="str">
        <f>_xlfn.DISPIMG("ID_32FCB513C4484BA09259FA7A453BEE58",1)</f>
        <v>=DISPIMG("ID_32FCB513C4484BA09259FA7A453BEE58",1)</v>
      </c>
      <c r="D61" s="66" t="s">
        <v>597</v>
      </c>
      <c r="E61" s="208" t="s">
        <v>598</v>
      </c>
      <c r="F61" s="111">
        <v>27201743838</v>
      </c>
      <c r="G61" s="111" t="s">
        <v>599</v>
      </c>
      <c r="H61" s="107" t="s">
        <v>600</v>
      </c>
      <c r="I61" s="107" t="s">
        <v>601</v>
      </c>
      <c r="J61" s="292" t="s">
        <v>602</v>
      </c>
      <c r="K61" s="183">
        <v>9</v>
      </c>
      <c r="L61" s="183">
        <v>412.7</v>
      </c>
      <c r="M61" s="183">
        <v>4.1</v>
      </c>
      <c r="N61" s="184">
        <v>10000</v>
      </c>
      <c r="O61" s="184">
        <v>15000</v>
      </c>
      <c r="P61" s="184">
        <v>20000</v>
      </c>
      <c r="Q61" s="184" t="s">
        <v>40</v>
      </c>
      <c r="R61" s="184" t="s">
        <v>603</v>
      </c>
      <c r="S61" s="184" t="s">
        <v>40</v>
      </c>
      <c r="T61" s="184" t="s">
        <v>604</v>
      </c>
      <c r="U61" s="184" t="s">
        <v>605</v>
      </c>
      <c r="V61" s="107" t="s">
        <v>40</v>
      </c>
      <c r="W61" s="111" t="s">
        <v>40</v>
      </c>
      <c r="X61" s="111" t="s">
        <v>606</v>
      </c>
    </row>
    <row r="62" s="1" customFormat="1" ht="25" customHeight="1" spans="1:24">
      <c r="A62" s="221"/>
      <c r="B62" s="221"/>
      <c r="C62" s="221"/>
      <c r="D62" s="221"/>
      <c r="E62" s="221"/>
      <c r="F62" s="221"/>
      <c r="G62" s="221"/>
      <c r="H62" s="221"/>
      <c r="I62" s="222"/>
      <c r="J62" s="223" t="s">
        <v>607</v>
      </c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</row>
    <row r="63" s="1" customFormat="1" ht="50" customHeight="1" spans="1:24">
      <c r="A63" s="175">
        <v>53</v>
      </c>
      <c r="B63" s="121" t="s">
        <v>102</v>
      </c>
      <c r="C63" s="177" t="str">
        <f>_xlfn.DISPIMG("ID_58CB13A978C944FEAE326BEF7E8454C2",1)</f>
        <v>=DISPIMG("ID_58CB13A978C944FEAE326BEF7E8454C2",1)</v>
      </c>
      <c r="D63" s="61" t="s">
        <v>608</v>
      </c>
      <c r="E63" s="178" t="s">
        <v>609</v>
      </c>
      <c r="F63" s="64">
        <v>25081778</v>
      </c>
      <c r="G63" s="64" t="s">
        <v>610</v>
      </c>
      <c r="H63" s="64" t="s">
        <v>611</v>
      </c>
      <c r="I63" s="114" t="s">
        <v>612</v>
      </c>
      <c r="J63" s="114" t="s">
        <v>613</v>
      </c>
      <c r="K63" s="152">
        <v>337.9</v>
      </c>
      <c r="L63" s="152">
        <v>96.4</v>
      </c>
      <c r="M63" s="152">
        <v>3.4</v>
      </c>
      <c r="N63" s="179" t="s">
        <v>40</v>
      </c>
      <c r="O63" s="179">
        <v>88000</v>
      </c>
      <c r="P63" s="179">
        <v>88000</v>
      </c>
      <c r="Q63" s="179">
        <v>98000</v>
      </c>
      <c r="R63" s="179" t="s">
        <v>186</v>
      </c>
      <c r="S63" s="179" t="s">
        <v>40</v>
      </c>
      <c r="T63" s="179" t="s">
        <v>614</v>
      </c>
      <c r="U63" s="179" t="s">
        <v>615</v>
      </c>
      <c r="V63" s="114" t="s">
        <v>616</v>
      </c>
      <c r="W63" s="64" t="s">
        <v>617</v>
      </c>
      <c r="X63" s="64" t="s">
        <v>45</v>
      </c>
    </row>
    <row r="64" s="1" customFormat="1" ht="50" customHeight="1" spans="1:24">
      <c r="A64" s="180">
        <v>54</v>
      </c>
      <c r="B64" s="220"/>
      <c r="C64" s="189" t="str">
        <f>_xlfn.DISPIMG("ID_8BCE00600B2C4CC8B5E75810E8F2F99B",1)</f>
        <v>=DISPIMG("ID_8BCE00600B2C4CC8B5E75810E8F2F99B",1)</v>
      </c>
      <c r="D64" s="66" t="s">
        <v>618</v>
      </c>
      <c r="E64" s="181" t="s">
        <v>619</v>
      </c>
      <c r="F64" s="111" t="s">
        <v>620</v>
      </c>
      <c r="G64" s="107" t="s">
        <v>621</v>
      </c>
      <c r="H64" s="111" t="s">
        <v>622</v>
      </c>
      <c r="I64" s="107" t="s">
        <v>623</v>
      </c>
      <c r="J64" s="107" t="s">
        <v>624</v>
      </c>
      <c r="K64" s="183">
        <v>617.9</v>
      </c>
      <c r="L64" s="183">
        <v>49.2</v>
      </c>
      <c r="M64" s="183">
        <v>1</v>
      </c>
      <c r="N64" s="184">
        <v>77000</v>
      </c>
      <c r="O64" s="184">
        <v>88000</v>
      </c>
      <c r="P64" s="184">
        <v>99000</v>
      </c>
      <c r="Q64" s="184">
        <v>110000</v>
      </c>
      <c r="R64" s="184" t="s">
        <v>186</v>
      </c>
      <c r="S64" s="184" t="s">
        <v>40</v>
      </c>
      <c r="T64" s="184" t="s">
        <v>625</v>
      </c>
      <c r="U64" s="184" t="s">
        <v>626</v>
      </c>
      <c r="V64" s="107" t="s">
        <v>627</v>
      </c>
      <c r="W64" s="111" t="s">
        <v>628</v>
      </c>
      <c r="X64" s="111" t="s">
        <v>45</v>
      </c>
    </row>
    <row r="65" s="164" customFormat="1" ht="25" customHeight="1" spans="1:24">
      <c r="A65" s="118"/>
      <c r="B65" s="118"/>
      <c r="C65" s="118"/>
      <c r="D65" s="118"/>
      <c r="E65" s="118"/>
      <c r="F65" s="118"/>
      <c r="G65" s="118"/>
      <c r="H65" s="118"/>
      <c r="I65" s="224"/>
      <c r="J65" s="225" t="s">
        <v>629</v>
      </c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</row>
    <row r="66" s="1" customFormat="1" ht="50" customHeight="1" spans="1:24">
      <c r="A66" s="180">
        <v>55</v>
      </c>
      <c r="B66" s="188"/>
      <c r="C66" s="189" t="str">
        <f>_xlfn.DISPIMG("ID_B92A8BE17A1142A1A6DD0525CD4E59B4",1)</f>
        <v>=DISPIMG("ID_B92A8BE17A1142A1A6DD0525CD4E59B4",1)</v>
      </c>
      <c r="D66" s="66" t="s">
        <v>630</v>
      </c>
      <c r="E66" s="181" t="s">
        <v>631</v>
      </c>
      <c r="F66" s="111">
        <v>1184715895</v>
      </c>
      <c r="G66" s="111" t="s">
        <v>632</v>
      </c>
      <c r="H66" s="111" t="s">
        <v>633</v>
      </c>
      <c r="I66" s="107" t="s">
        <v>634</v>
      </c>
      <c r="J66" s="107" t="s">
        <v>635</v>
      </c>
      <c r="K66" s="183">
        <v>497.4</v>
      </c>
      <c r="L66" s="183">
        <v>104.8</v>
      </c>
      <c r="M66" s="183">
        <v>7.2</v>
      </c>
      <c r="N66" s="184">
        <v>88000</v>
      </c>
      <c r="O66" s="184">
        <v>118000</v>
      </c>
      <c r="P66" s="184">
        <v>128000</v>
      </c>
      <c r="Q66" s="184">
        <v>200000</v>
      </c>
      <c r="R66" s="184" t="s">
        <v>186</v>
      </c>
      <c r="S66" s="184" t="s">
        <v>40</v>
      </c>
      <c r="T66" s="184" t="s">
        <v>636</v>
      </c>
      <c r="U66" s="184" t="s">
        <v>637</v>
      </c>
      <c r="V66" s="107" t="s">
        <v>638</v>
      </c>
      <c r="W66" s="111" t="s">
        <v>639</v>
      </c>
      <c r="X66" s="111" t="s">
        <v>45</v>
      </c>
    </row>
    <row r="67" s="1" customFormat="1" ht="50" customHeight="1" spans="1:24">
      <c r="A67" s="175">
        <v>56</v>
      </c>
      <c r="B67" s="121" t="s">
        <v>102</v>
      </c>
      <c r="C67" s="22" t="str">
        <f>_xlfn.DISPIMG("ID_DE278334E28B49CCB87A3206F1ECC926",1)</f>
        <v>=DISPIMG("ID_DE278334E28B49CCB87A3206F1ECC926",1)</v>
      </c>
      <c r="D67" s="23" t="s">
        <v>640</v>
      </c>
      <c r="E67" s="187" t="s">
        <v>641</v>
      </c>
      <c r="F67" s="64" t="s">
        <v>642</v>
      </c>
      <c r="G67" s="64" t="s">
        <v>643</v>
      </c>
      <c r="H67" s="64" t="s">
        <v>644</v>
      </c>
      <c r="I67" s="114" t="s">
        <v>645</v>
      </c>
      <c r="J67" s="114" t="s">
        <v>646</v>
      </c>
      <c r="K67" s="152">
        <v>420.7</v>
      </c>
      <c r="L67" s="152">
        <v>71.4</v>
      </c>
      <c r="M67" s="152">
        <v>0.8</v>
      </c>
      <c r="N67" s="179">
        <v>50000</v>
      </c>
      <c r="O67" s="179">
        <v>60000</v>
      </c>
      <c r="P67" s="179">
        <v>70000</v>
      </c>
      <c r="Q67" s="179">
        <v>80000</v>
      </c>
      <c r="R67" s="179" t="s">
        <v>186</v>
      </c>
      <c r="S67" s="179" t="s">
        <v>40</v>
      </c>
      <c r="T67" s="179" t="s">
        <v>647</v>
      </c>
      <c r="U67" s="179" t="s">
        <v>648</v>
      </c>
      <c r="V67" s="114" t="s">
        <v>649</v>
      </c>
      <c r="W67" s="64" t="s">
        <v>650</v>
      </c>
      <c r="X67" s="64" t="s">
        <v>651</v>
      </c>
    </row>
    <row r="68" s="1" customFormat="1" ht="50" customHeight="1" spans="1:24">
      <c r="A68" s="180">
        <v>57</v>
      </c>
      <c r="B68" s="188"/>
      <c r="C68" s="189" t="str">
        <f>_xlfn.DISPIMG("ID_84E09DBA04F449429C52A0F8BBF9511A",1)</f>
        <v>=DISPIMG("ID_84E09DBA04F449429C52A0F8BBF9511A",1)</v>
      </c>
      <c r="D68" s="66" t="s">
        <v>652</v>
      </c>
      <c r="E68" s="181" t="s">
        <v>653</v>
      </c>
      <c r="F68" s="111">
        <v>25728100</v>
      </c>
      <c r="G68" s="111" t="s">
        <v>643</v>
      </c>
      <c r="H68" s="111" t="s">
        <v>654</v>
      </c>
      <c r="I68" s="107" t="s">
        <v>655</v>
      </c>
      <c r="J68" s="107" t="s">
        <v>656</v>
      </c>
      <c r="K68" s="183">
        <v>163.3</v>
      </c>
      <c r="L68" s="183">
        <v>296.1</v>
      </c>
      <c r="M68" s="183">
        <v>13.8</v>
      </c>
      <c r="N68" s="184">
        <v>38000</v>
      </c>
      <c r="O68" s="184">
        <v>42000</v>
      </c>
      <c r="P68" s="184">
        <v>46000</v>
      </c>
      <c r="Q68" s="184">
        <v>56000</v>
      </c>
      <c r="R68" s="184" t="s">
        <v>186</v>
      </c>
      <c r="S68" s="184">
        <v>30000</v>
      </c>
      <c r="T68" s="184" t="s">
        <v>657</v>
      </c>
      <c r="U68" s="184" t="s">
        <v>658</v>
      </c>
      <c r="V68" s="107" t="s">
        <v>659</v>
      </c>
      <c r="W68" s="111" t="s">
        <v>660</v>
      </c>
      <c r="X68" s="111" t="s">
        <v>585</v>
      </c>
    </row>
    <row r="69" s="1" customFormat="1" ht="50" customHeight="1" spans="1:24">
      <c r="A69" s="175">
        <v>58</v>
      </c>
      <c r="B69" s="226"/>
      <c r="C69" s="22" t="str">
        <f>_xlfn.DISPIMG("ID_983AF3551FD142A28B6EF5D37FE90C59",1)</f>
        <v>=DISPIMG("ID_983AF3551FD142A28B6EF5D37FE90C59",1)</v>
      </c>
      <c r="D69" s="23" t="s">
        <v>661</v>
      </c>
      <c r="E69" s="187" t="s">
        <v>662</v>
      </c>
      <c r="F69" s="64">
        <v>6739527</v>
      </c>
      <c r="G69" s="64" t="s">
        <v>663</v>
      </c>
      <c r="H69" s="64" t="s">
        <v>664</v>
      </c>
      <c r="I69" s="114" t="s">
        <v>665</v>
      </c>
      <c r="J69" s="114" t="s">
        <v>666</v>
      </c>
      <c r="K69" s="152">
        <v>287.4</v>
      </c>
      <c r="L69" s="152">
        <v>104.8</v>
      </c>
      <c r="M69" s="152">
        <v>3.6</v>
      </c>
      <c r="N69" s="179">
        <v>58000</v>
      </c>
      <c r="O69" s="179">
        <v>68000</v>
      </c>
      <c r="P69" s="179">
        <v>78000</v>
      </c>
      <c r="Q69" s="179" t="s">
        <v>40</v>
      </c>
      <c r="R69" s="179" t="s">
        <v>186</v>
      </c>
      <c r="S69" s="179" t="s">
        <v>40</v>
      </c>
      <c r="T69" s="179" t="s">
        <v>667</v>
      </c>
      <c r="U69" s="179" t="s">
        <v>668</v>
      </c>
      <c r="V69" s="114" t="s">
        <v>669</v>
      </c>
      <c r="W69" s="64" t="s">
        <v>670</v>
      </c>
      <c r="X69" s="64" t="s">
        <v>45</v>
      </c>
    </row>
    <row r="70" s="1" customFormat="1" ht="50" customHeight="1" spans="1:24">
      <c r="A70" s="180">
        <v>59</v>
      </c>
      <c r="B70" s="188"/>
      <c r="C70" s="189" t="str">
        <f>_xlfn.DISPIMG("ID_5A2303BEB2E64EB79F2228CF37EA448D",1)</f>
        <v>=DISPIMG("ID_5A2303BEB2E64EB79F2228CF37EA448D",1)</v>
      </c>
      <c r="D70" s="66" t="s">
        <v>671</v>
      </c>
      <c r="E70" s="181" t="s">
        <v>672</v>
      </c>
      <c r="F70" s="111" t="s">
        <v>673</v>
      </c>
      <c r="G70" s="111" t="s">
        <v>643</v>
      </c>
      <c r="H70" s="111" t="s">
        <v>674</v>
      </c>
      <c r="I70" s="107" t="s">
        <v>675</v>
      </c>
      <c r="J70" s="107" t="s">
        <v>676</v>
      </c>
      <c r="K70" s="183">
        <v>400.1</v>
      </c>
      <c r="L70" s="183">
        <v>152.3</v>
      </c>
      <c r="M70" s="183">
        <v>1.9</v>
      </c>
      <c r="N70" s="184">
        <v>32000</v>
      </c>
      <c r="O70" s="184">
        <v>49000</v>
      </c>
      <c r="P70" s="184">
        <v>75000</v>
      </c>
      <c r="Q70" s="184">
        <v>85000</v>
      </c>
      <c r="R70" s="184" t="s">
        <v>186</v>
      </c>
      <c r="S70" s="184" t="s">
        <v>40</v>
      </c>
      <c r="T70" s="184" t="s">
        <v>677</v>
      </c>
      <c r="U70" s="184" t="s">
        <v>678</v>
      </c>
      <c r="V70" s="107" t="s">
        <v>679</v>
      </c>
      <c r="W70" s="111" t="s">
        <v>680</v>
      </c>
      <c r="X70" s="111" t="s">
        <v>585</v>
      </c>
    </row>
    <row r="71" s="1" customFormat="1" ht="50" customHeight="1" spans="1:24">
      <c r="A71" s="175">
        <v>60</v>
      </c>
      <c r="B71" s="226"/>
      <c r="C71" s="22" t="str">
        <f>_xlfn.DISPIMG("ID_A06A04E18C8443698F5C8FFB59C2D25A",1)</f>
        <v>=DISPIMG("ID_A06A04E18C8443698F5C8FFB59C2D25A",1)</v>
      </c>
      <c r="D71" s="23" t="s">
        <v>681</v>
      </c>
      <c r="E71" s="187" t="s">
        <v>682</v>
      </c>
      <c r="F71" s="64" t="s">
        <v>683</v>
      </c>
      <c r="G71" s="64" t="s">
        <v>643</v>
      </c>
      <c r="H71" s="64" t="s">
        <v>684</v>
      </c>
      <c r="I71" s="114" t="s">
        <v>685</v>
      </c>
      <c r="J71" s="114" t="s">
        <v>686</v>
      </c>
      <c r="K71" s="152">
        <v>328.9</v>
      </c>
      <c r="L71" s="152">
        <v>104.7</v>
      </c>
      <c r="M71" s="152">
        <v>1</v>
      </c>
      <c r="N71" s="179">
        <v>25000</v>
      </c>
      <c r="O71" s="179">
        <v>28000</v>
      </c>
      <c r="P71" s="179">
        <v>38000</v>
      </c>
      <c r="Q71" s="179">
        <v>48000</v>
      </c>
      <c r="R71" s="179" t="s">
        <v>186</v>
      </c>
      <c r="S71" s="179" t="s">
        <v>40</v>
      </c>
      <c r="T71" s="179" t="s">
        <v>687</v>
      </c>
      <c r="U71" s="179" t="s">
        <v>688</v>
      </c>
      <c r="V71" s="114" t="s">
        <v>689</v>
      </c>
      <c r="W71" s="64" t="s">
        <v>690</v>
      </c>
      <c r="X71" s="64" t="s">
        <v>691</v>
      </c>
    </row>
    <row r="72" s="1" customFormat="1" ht="50" customHeight="1" spans="1:24">
      <c r="A72" s="180">
        <v>61</v>
      </c>
      <c r="B72" s="188"/>
      <c r="C72" s="66" t="str">
        <f>_xlfn.DISPIMG("ID_45F61FDE1DC54456816649288456C1A5",1)</f>
        <v>=DISPIMG("ID_45F61FDE1DC54456816649288456C1A5",1)</v>
      </c>
      <c r="D72" s="66" t="s">
        <v>692</v>
      </c>
      <c r="E72" s="181" t="s">
        <v>693</v>
      </c>
      <c r="F72" s="111" t="s">
        <v>694</v>
      </c>
      <c r="G72" s="111" t="s">
        <v>643</v>
      </c>
      <c r="H72" s="111" t="s">
        <v>695</v>
      </c>
      <c r="I72" s="107" t="s">
        <v>696</v>
      </c>
      <c r="J72" s="292" t="s">
        <v>697</v>
      </c>
      <c r="K72" s="183">
        <v>203.8</v>
      </c>
      <c r="L72" s="183">
        <v>106.9</v>
      </c>
      <c r="M72" s="183">
        <v>1.7</v>
      </c>
      <c r="N72" s="184">
        <v>40000</v>
      </c>
      <c r="O72" s="184">
        <v>45000</v>
      </c>
      <c r="P72" s="184">
        <v>65000</v>
      </c>
      <c r="Q72" s="184" t="s">
        <v>40</v>
      </c>
      <c r="R72" s="184" t="s">
        <v>40</v>
      </c>
      <c r="S72" s="184" t="s">
        <v>40</v>
      </c>
      <c r="T72" s="184" t="s">
        <v>698</v>
      </c>
      <c r="U72" s="184" t="s">
        <v>699</v>
      </c>
      <c r="V72" s="107" t="s">
        <v>700</v>
      </c>
      <c r="W72" s="111" t="s">
        <v>701</v>
      </c>
      <c r="X72" s="111" t="s">
        <v>585</v>
      </c>
    </row>
    <row r="73" s="1" customFormat="1" ht="50" customHeight="1" spans="1:24">
      <c r="A73" s="175">
        <v>62</v>
      </c>
      <c r="B73" s="226"/>
      <c r="C73" s="22" t="str">
        <f>_xlfn.DISPIMG("ID_70F1F0FFC48B4E6CBAAB57AAD6082D8C",1)</f>
        <v>=DISPIMG("ID_70F1F0FFC48B4E6CBAAB57AAD6082D8C",1)</v>
      </c>
      <c r="D73" s="23" t="s">
        <v>702</v>
      </c>
      <c r="E73" s="187" t="s">
        <v>703</v>
      </c>
      <c r="F73" s="64" t="s">
        <v>704</v>
      </c>
      <c r="G73" s="64" t="s">
        <v>643</v>
      </c>
      <c r="H73" s="64" t="s">
        <v>705</v>
      </c>
      <c r="I73" s="114" t="s">
        <v>706</v>
      </c>
      <c r="J73" s="293" t="s">
        <v>707</v>
      </c>
      <c r="K73" s="152">
        <v>149.3</v>
      </c>
      <c r="L73" s="152">
        <v>336.9</v>
      </c>
      <c r="M73" s="152">
        <v>6</v>
      </c>
      <c r="N73" s="179">
        <v>38000</v>
      </c>
      <c r="O73" s="179">
        <v>38000</v>
      </c>
      <c r="P73" s="179">
        <v>48000</v>
      </c>
      <c r="Q73" s="179">
        <v>58000</v>
      </c>
      <c r="R73" s="179" t="s">
        <v>708</v>
      </c>
      <c r="S73" s="179">
        <v>38000</v>
      </c>
      <c r="T73" s="179" t="s">
        <v>709</v>
      </c>
      <c r="U73" s="179" t="s">
        <v>710</v>
      </c>
      <c r="V73" s="114" t="s">
        <v>711</v>
      </c>
      <c r="W73" s="64" t="s">
        <v>712</v>
      </c>
      <c r="X73" s="64" t="s">
        <v>45</v>
      </c>
    </row>
    <row r="74" s="1" customFormat="1" ht="50" customHeight="1" spans="1:24">
      <c r="A74" s="180">
        <v>63</v>
      </c>
      <c r="B74" s="188"/>
      <c r="C74" s="189" t="str">
        <f>_xlfn.DISPIMG("ID_792E1E57CCA94F6DA3311C7643148082",1)</f>
        <v>=DISPIMG("ID_792E1E57CCA94F6DA3311C7643148082",1)</v>
      </c>
      <c r="D74" s="66" t="s">
        <v>713</v>
      </c>
      <c r="E74" s="181" t="s">
        <v>714</v>
      </c>
      <c r="F74" s="111" t="s">
        <v>715</v>
      </c>
      <c r="G74" s="111" t="s">
        <v>716</v>
      </c>
      <c r="H74" s="111" t="s">
        <v>717</v>
      </c>
      <c r="I74" s="107" t="s">
        <v>718</v>
      </c>
      <c r="J74" s="107" t="s">
        <v>719</v>
      </c>
      <c r="K74" s="183">
        <v>44.7</v>
      </c>
      <c r="L74" s="183">
        <v>129.8</v>
      </c>
      <c r="M74" s="183">
        <v>2.7</v>
      </c>
      <c r="N74" s="184">
        <v>6000</v>
      </c>
      <c r="O74" s="184">
        <v>10000</v>
      </c>
      <c r="P74" s="184">
        <v>15000</v>
      </c>
      <c r="Q74" s="184">
        <v>25000</v>
      </c>
      <c r="R74" s="184" t="s">
        <v>186</v>
      </c>
      <c r="S74" s="184" t="s">
        <v>40</v>
      </c>
      <c r="T74" s="184" t="s">
        <v>720</v>
      </c>
      <c r="U74" s="184" t="s">
        <v>721</v>
      </c>
      <c r="V74" s="107" t="s">
        <v>722</v>
      </c>
      <c r="W74" s="111" t="s">
        <v>40</v>
      </c>
      <c r="X74" s="111" t="s">
        <v>45</v>
      </c>
    </row>
    <row r="75" s="1" customFormat="1" ht="50" customHeight="1" spans="1:24">
      <c r="A75" s="175">
        <v>64</v>
      </c>
      <c r="B75" s="226"/>
      <c r="C75" s="22" t="str">
        <f>_xlfn.DISPIMG("ID_2FF67B11DFB0425692DB0B5545CE743A",1)</f>
        <v>=DISPIMG("ID_2FF67B11DFB0425692DB0B5545CE743A",1)</v>
      </c>
      <c r="D75" s="23" t="s">
        <v>723</v>
      </c>
      <c r="E75" s="187" t="s">
        <v>724</v>
      </c>
      <c r="F75" s="64" t="s">
        <v>725</v>
      </c>
      <c r="G75" s="64" t="s">
        <v>716</v>
      </c>
      <c r="H75" s="64" t="s">
        <v>726</v>
      </c>
      <c r="I75" s="114" t="s">
        <v>727</v>
      </c>
      <c r="J75" s="114" t="s">
        <v>728</v>
      </c>
      <c r="K75" s="152">
        <v>482.4</v>
      </c>
      <c r="L75" s="152">
        <v>67.6</v>
      </c>
      <c r="M75" s="152">
        <v>5.1</v>
      </c>
      <c r="N75" s="179">
        <v>50000</v>
      </c>
      <c r="O75" s="179">
        <v>62000</v>
      </c>
      <c r="P75" s="179">
        <v>76000</v>
      </c>
      <c r="Q75" s="179">
        <v>86000</v>
      </c>
      <c r="R75" s="179" t="s">
        <v>186</v>
      </c>
      <c r="S75" s="179" t="s">
        <v>40</v>
      </c>
      <c r="T75" s="179" t="s">
        <v>729</v>
      </c>
      <c r="U75" s="179" t="s">
        <v>730</v>
      </c>
      <c r="V75" s="114" t="s">
        <v>731</v>
      </c>
      <c r="W75" s="64" t="s">
        <v>732</v>
      </c>
      <c r="X75" s="64" t="s">
        <v>45</v>
      </c>
    </row>
    <row r="76" s="1" customFormat="1" ht="50" customHeight="1" spans="1:24">
      <c r="A76" s="180">
        <v>65</v>
      </c>
      <c r="B76" s="188"/>
      <c r="C76" s="189" t="str">
        <f>_xlfn.DISPIMG("ID_A412230D60AB468488551983E18F68BC",1)</f>
        <v>=DISPIMG("ID_A412230D60AB468488551983E18F68BC",1)</v>
      </c>
      <c r="D76" s="66" t="s">
        <v>733</v>
      </c>
      <c r="E76" s="181" t="s">
        <v>734</v>
      </c>
      <c r="F76" s="111">
        <v>97700283392</v>
      </c>
      <c r="G76" s="111" t="s">
        <v>735</v>
      </c>
      <c r="H76" s="111" t="s">
        <v>736</v>
      </c>
      <c r="I76" s="107" t="s">
        <v>737</v>
      </c>
      <c r="J76" s="107" t="s">
        <v>738</v>
      </c>
      <c r="K76" s="183">
        <v>12.9</v>
      </c>
      <c r="L76" s="183" t="s">
        <v>40</v>
      </c>
      <c r="M76" s="183" t="s">
        <v>40</v>
      </c>
      <c r="N76" s="184">
        <v>8000</v>
      </c>
      <c r="O76" s="184">
        <v>12000</v>
      </c>
      <c r="P76" s="184">
        <v>15000</v>
      </c>
      <c r="Q76" s="184">
        <v>25000</v>
      </c>
      <c r="R76" s="184" t="s">
        <v>40</v>
      </c>
      <c r="S76" s="184" t="s">
        <v>40</v>
      </c>
      <c r="T76" s="184" t="s">
        <v>739</v>
      </c>
      <c r="U76" s="184" t="s">
        <v>740</v>
      </c>
      <c r="V76" s="107" t="s">
        <v>741</v>
      </c>
      <c r="W76" s="111" t="s">
        <v>40</v>
      </c>
      <c r="X76" s="111" t="s">
        <v>45</v>
      </c>
    </row>
    <row r="77" s="162" customFormat="1" ht="25" customHeight="1" spans="1:24">
      <c r="A77" s="124"/>
      <c r="B77" s="124"/>
      <c r="C77" s="124"/>
      <c r="D77" s="124"/>
      <c r="E77" s="124"/>
      <c r="F77" s="124"/>
      <c r="G77" s="124"/>
      <c r="H77" s="124"/>
      <c r="I77" s="227"/>
      <c r="J77" s="228" t="s">
        <v>742</v>
      </c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</row>
    <row r="78" s="1" customFormat="1" ht="50" customHeight="1" spans="1:24">
      <c r="A78" s="180">
        <v>66</v>
      </c>
      <c r="B78" s="220"/>
      <c r="C78" s="189" t="str">
        <f>_xlfn.DISPIMG("ID_04B9406E73AD45868CFDE025F1A67C64",1)</f>
        <v>=DISPIMG("ID_04B9406E73AD45868CFDE025F1A67C64",1)</v>
      </c>
      <c r="D78" s="66" t="s">
        <v>743</v>
      </c>
      <c r="E78" s="181" t="s">
        <v>744</v>
      </c>
      <c r="F78" s="111">
        <v>20396292</v>
      </c>
      <c r="G78" s="66" t="s">
        <v>745</v>
      </c>
      <c r="H78" s="111" t="s">
        <v>746</v>
      </c>
      <c r="I78" s="107" t="s">
        <v>747</v>
      </c>
      <c r="J78" s="107" t="s">
        <v>748</v>
      </c>
      <c r="K78" s="183">
        <v>135.9</v>
      </c>
      <c r="L78" s="183">
        <v>88.5</v>
      </c>
      <c r="M78" s="183">
        <v>1.9</v>
      </c>
      <c r="N78" s="184">
        <v>91000</v>
      </c>
      <c r="O78" s="184">
        <v>101000</v>
      </c>
      <c r="P78" s="184">
        <v>120000</v>
      </c>
      <c r="Q78" s="184">
        <v>180000</v>
      </c>
      <c r="R78" s="184" t="s">
        <v>186</v>
      </c>
      <c r="S78" s="184" t="s">
        <v>40</v>
      </c>
      <c r="T78" s="184" t="s">
        <v>749</v>
      </c>
      <c r="U78" s="184" t="s">
        <v>750</v>
      </c>
      <c r="V78" s="107" t="s">
        <v>751</v>
      </c>
      <c r="W78" s="111" t="s">
        <v>752</v>
      </c>
      <c r="X78" s="111" t="s">
        <v>574</v>
      </c>
    </row>
    <row r="79" s="1" customFormat="1" ht="50" customHeight="1" spans="1:24">
      <c r="A79" s="190">
        <v>67</v>
      </c>
      <c r="B79" s="226"/>
      <c r="C79" s="200" t="str">
        <f>_xlfn.DISPIMG("ID_918CC43491354479B68FB81A3D0E4BA3",1)</f>
        <v>=DISPIMG("ID_918CC43491354479B68FB81A3D0E4BA3",1)</v>
      </c>
      <c r="D79" s="23" t="s">
        <v>753</v>
      </c>
      <c r="E79" s="187" t="s">
        <v>754</v>
      </c>
      <c r="F79" s="64" t="s">
        <v>755</v>
      </c>
      <c r="G79" s="64" t="s">
        <v>756</v>
      </c>
      <c r="H79" s="64" t="s">
        <v>757</v>
      </c>
      <c r="I79" s="114" t="s">
        <v>758</v>
      </c>
      <c r="J79" s="114" t="s">
        <v>759</v>
      </c>
      <c r="K79" s="152">
        <v>148.1</v>
      </c>
      <c r="L79" s="152" t="s">
        <v>40</v>
      </c>
      <c r="M79" s="152">
        <v>10.9</v>
      </c>
      <c r="N79" s="179">
        <v>35000</v>
      </c>
      <c r="O79" s="179">
        <v>45000</v>
      </c>
      <c r="P79" s="179">
        <v>50000</v>
      </c>
      <c r="Q79" s="179">
        <v>60000</v>
      </c>
      <c r="R79" s="179" t="s">
        <v>186</v>
      </c>
      <c r="S79" s="179" t="s">
        <v>40</v>
      </c>
      <c r="T79" s="179" t="s">
        <v>760</v>
      </c>
      <c r="U79" s="179" t="s">
        <v>761</v>
      </c>
      <c r="V79" s="114" t="s">
        <v>762</v>
      </c>
      <c r="W79" s="64" t="s">
        <v>763</v>
      </c>
      <c r="X79" s="64" t="s">
        <v>45</v>
      </c>
    </row>
    <row r="80" s="1" customFormat="1" ht="50" customHeight="1" spans="1:24">
      <c r="A80" s="180">
        <v>68</v>
      </c>
      <c r="B80" s="220"/>
      <c r="C80" s="189" t="str">
        <f>_xlfn.DISPIMG("ID_96F902CF6DC9447CA83C0F706D1423F1",1)</f>
        <v>=DISPIMG("ID_96F902CF6DC9447CA83C0F706D1423F1",1)</v>
      </c>
      <c r="D80" s="66" t="s">
        <v>764</v>
      </c>
      <c r="E80" s="181" t="s">
        <v>765</v>
      </c>
      <c r="F80" s="111">
        <v>54263633927</v>
      </c>
      <c r="G80" s="66" t="s">
        <v>766</v>
      </c>
      <c r="H80" s="111" t="s">
        <v>767</v>
      </c>
      <c r="I80" s="107" t="s">
        <v>768</v>
      </c>
      <c r="J80" s="107" t="s">
        <v>769</v>
      </c>
      <c r="K80" s="183">
        <v>131.5</v>
      </c>
      <c r="L80" s="183">
        <v>54.5</v>
      </c>
      <c r="M80" s="183">
        <v>2.5</v>
      </c>
      <c r="N80" s="184">
        <v>71000</v>
      </c>
      <c r="O80" s="184">
        <v>79000</v>
      </c>
      <c r="P80" s="184">
        <v>88000</v>
      </c>
      <c r="Q80" s="184">
        <v>100000</v>
      </c>
      <c r="R80" s="184" t="s">
        <v>186</v>
      </c>
      <c r="S80" s="184" t="s">
        <v>770</v>
      </c>
      <c r="T80" s="184" t="s">
        <v>771</v>
      </c>
      <c r="U80" s="184" t="s">
        <v>772</v>
      </c>
      <c r="V80" s="107" t="s">
        <v>773</v>
      </c>
      <c r="W80" s="111" t="s">
        <v>774</v>
      </c>
      <c r="X80" s="111" t="s">
        <v>574</v>
      </c>
    </row>
    <row r="81" s="161" customFormat="1" ht="25" customHeight="1" spans="1:24">
      <c r="A81" s="127"/>
      <c r="B81" s="127"/>
      <c r="C81" s="127"/>
      <c r="D81" s="127"/>
      <c r="E81" s="127"/>
      <c r="F81" s="127"/>
      <c r="G81" s="127"/>
      <c r="H81" s="127"/>
      <c r="I81" s="185"/>
      <c r="J81" s="186" t="s">
        <v>775</v>
      </c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</row>
    <row r="82" s="1" customFormat="1" ht="50" customHeight="1" spans="1:24">
      <c r="A82" s="190">
        <v>69</v>
      </c>
      <c r="B82" s="121"/>
      <c r="C82" s="200" t="str">
        <f>_xlfn.DISPIMG("ID_2A909E8A25084C82BBCCB7755957DE7A",1)</f>
        <v>=DISPIMG("ID_2A909E8A25084C82BBCCB7755957DE7A",1)</v>
      </c>
      <c r="D82" s="23" t="s">
        <v>776</v>
      </c>
      <c r="E82" s="178" t="s">
        <v>777</v>
      </c>
      <c r="F82" s="64" t="s">
        <v>778</v>
      </c>
      <c r="G82" s="64" t="s">
        <v>779</v>
      </c>
      <c r="H82" s="64" t="s">
        <v>780</v>
      </c>
      <c r="I82" s="114" t="s">
        <v>781</v>
      </c>
      <c r="J82" s="114" t="s">
        <v>782</v>
      </c>
      <c r="K82" s="152">
        <v>1131.2</v>
      </c>
      <c r="L82" s="152">
        <v>74.1</v>
      </c>
      <c r="M82" s="152">
        <v>1.2</v>
      </c>
      <c r="N82" s="179">
        <v>140000</v>
      </c>
      <c r="O82" s="179">
        <v>160000</v>
      </c>
      <c r="P82" s="179">
        <v>180000</v>
      </c>
      <c r="Q82" s="179">
        <v>250000</v>
      </c>
      <c r="R82" s="179" t="s">
        <v>186</v>
      </c>
      <c r="S82" s="179" t="s">
        <v>40</v>
      </c>
      <c r="T82" s="179" t="s">
        <v>783</v>
      </c>
      <c r="U82" s="179" t="s">
        <v>784</v>
      </c>
      <c r="V82" s="179" t="s">
        <v>785</v>
      </c>
      <c r="W82" s="64" t="s">
        <v>786</v>
      </c>
      <c r="X82" s="64" t="s">
        <v>787</v>
      </c>
    </row>
    <row r="83" s="1" customFormat="1" ht="50" customHeight="1" spans="1:24">
      <c r="A83" s="180">
        <v>70</v>
      </c>
      <c r="B83" s="204" t="s">
        <v>530</v>
      </c>
      <c r="C83" s="220" t="str">
        <f>_xlfn.DISPIMG("ID_CD0F50CCCD824C92AFDEBB40BF3807E8",1)</f>
        <v>=DISPIMG("ID_CD0F50CCCD824C92AFDEBB40BF3807E8",1)</v>
      </c>
      <c r="D83" s="66" t="s">
        <v>788</v>
      </c>
      <c r="E83" s="208" t="s">
        <v>789</v>
      </c>
      <c r="F83" s="111" t="s">
        <v>790</v>
      </c>
      <c r="G83" s="111" t="s">
        <v>791</v>
      </c>
      <c r="H83" s="107" t="s">
        <v>792</v>
      </c>
      <c r="I83" s="107" t="s">
        <v>793</v>
      </c>
      <c r="J83" s="292" t="s">
        <v>794</v>
      </c>
      <c r="K83" s="183">
        <v>1033.3</v>
      </c>
      <c r="L83" s="183">
        <v>28</v>
      </c>
      <c r="M83" s="183">
        <v>0.7</v>
      </c>
      <c r="N83" s="184">
        <v>158000</v>
      </c>
      <c r="O83" s="184">
        <v>178000</v>
      </c>
      <c r="P83" s="184">
        <v>200000</v>
      </c>
      <c r="Q83" s="184" t="s">
        <v>40</v>
      </c>
      <c r="R83" s="184" t="s">
        <v>174</v>
      </c>
      <c r="S83" s="184" t="s">
        <v>40</v>
      </c>
      <c r="T83" s="184" t="s">
        <v>795</v>
      </c>
      <c r="U83" s="184" t="s">
        <v>796</v>
      </c>
      <c r="V83" s="107" t="s">
        <v>797</v>
      </c>
      <c r="W83" s="111" t="s">
        <v>798</v>
      </c>
      <c r="X83" s="111" t="s">
        <v>45</v>
      </c>
    </row>
    <row r="84" s="1" customFormat="1" ht="50" customHeight="1" spans="1:24">
      <c r="A84" s="190">
        <v>71</v>
      </c>
      <c r="B84" s="121" t="s">
        <v>530</v>
      </c>
      <c r="C84" s="200" t="str">
        <f>_xlfn.DISPIMG("ID_E4D182802A47458298E6F0461565D148",1)</f>
        <v>=DISPIMG("ID_E4D182802A47458298E6F0461565D148",1)</v>
      </c>
      <c r="D84" s="23" t="s">
        <v>799</v>
      </c>
      <c r="E84" s="178" t="s">
        <v>800</v>
      </c>
      <c r="F84" s="64" t="s">
        <v>801</v>
      </c>
      <c r="G84" s="64" t="s">
        <v>802</v>
      </c>
      <c r="H84" s="64" t="s">
        <v>803</v>
      </c>
      <c r="I84" s="114" t="s">
        <v>804</v>
      </c>
      <c r="J84" s="293" t="s">
        <v>805</v>
      </c>
      <c r="K84" s="152">
        <v>952.3</v>
      </c>
      <c r="L84" s="152">
        <v>50</v>
      </c>
      <c r="M84" s="152">
        <v>1.4</v>
      </c>
      <c r="N84" s="179">
        <v>50000</v>
      </c>
      <c r="O84" s="179">
        <v>60000</v>
      </c>
      <c r="P84" s="179">
        <v>70000</v>
      </c>
      <c r="Q84" s="179" t="s">
        <v>40</v>
      </c>
      <c r="R84" s="179" t="s">
        <v>40</v>
      </c>
      <c r="S84" s="179" t="s">
        <v>40</v>
      </c>
      <c r="T84" s="179" t="s">
        <v>441</v>
      </c>
      <c r="U84" s="179" t="s">
        <v>806</v>
      </c>
      <c r="V84" s="179" t="s">
        <v>807</v>
      </c>
      <c r="W84" s="64" t="s">
        <v>808</v>
      </c>
      <c r="X84" s="64" t="s">
        <v>45</v>
      </c>
    </row>
    <row r="85" s="1" customFormat="1" ht="50" customHeight="1" spans="1:24">
      <c r="A85" s="180">
        <v>72</v>
      </c>
      <c r="B85" s="220"/>
      <c r="C85" s="66" t="str">
        <f>_xlfn.DISPIMG("ID_1E53894226F0447CA4D62FA5B8BA1118",1)</f>
        <v>=DISPIMG("ID_1E53894226F0447CA4D62FA5B8BA1118",1)</v>
      </c>
      <c r="D85" s="66" t="s">
        <v>809</v>
      </c>
      <c r="E85" s="111" t="s">
        <v>810</v>
      </c>
      <c r="F85" s="111">
        <v>73352014725</v>
      </c>
      <c r="G85" s="111" t="s">
        <v>811</v>
      </c>
      <c r="H85" s="107" t="s">
        <v>812</v>
      </c>
      <c r="I85" s="107" t="s">
        <v>813</v>
      </c>
      <c r="J85" s="292" t="s">
        <v>814</v>
      </c>
      <c r="K85" s="183">
        <v>135.3</v>
      </c>
      <c r="L85" s="183">
        <v>182.3</v>
      </c>
      <c r="M85" s="183">
        <v>4.3</v>
      </c>
      <c r="N85" s="184">
        <v>30000</v>
      </c>
      <c r="O85" s="184">
        <v>35000</v>
      </c>
      <c r="P85" s="184">
        <v>45000</v>
      </c>
      <c r="Q85" s="184" t="s">
        <v>40</v>
      </c>
      <c r="R85" s="184" t="s">
        <v>815</v>
      </c>
      <c r="S85" s="184" t="s">
        <v>40</v>
      </c>
      <c r="T85" s="184" t="s">
        <v>816</v>
      </c>
      <c r="U85" s="184" t="s">
        <v>817</v>
      </c>
      <c r="V85" s="107" t="s">
        <v>818</v>
      </c>
      <c r="W85" s="111" t="s">
        <v>819</v>
      </c>
      <c r="X85" s="111" t="s">
        <v>820</v>
      </c>
    </row>
    <row r="86" s="1" customFormat="1" ht="50" customHeight="1" spans="1:24">
      <c r="A86" s="190">
        <v>73</v>
      </c>
      <c r="B86" s="121"/>
      <c r="C86" s="200" t="str">
        <f>_xlfn.DISPIMG("ID_DC126CE61D9344459D5C67F122FC46EE",1)</f>
        <v>=DISPIMG("ID_DC126CE61D9344459D5C67F122FC46EE",1)</v>
      </c>
      <c r="D86" s="23" t="s">
        <v>821</v>
      </c>
      <c r="E86" s="178" t="s">
        <v>822</v>
      </c>
      <c r="F86" s="64" t="s">
        <v>823</v>
      </c>
      <c r="G86" s="64" t="s">
        <v>824</v>
      </c>
      <c r="H86" s="64" t="s">
        <v>825</v>
      </c>
      <c r="I86" s="114" t="s">
        <v>826</v>
      </c>
      <c r="J86" s="114" t="s">
        <v>827</v>
      </c>
      <c r="K86" s="152">
        <v>68</v>
      </c>
      <c r="L86" s="152">
        <v>126.7</v>
      </c>
      <c r="M86" s="152">
        <v>2.3</v>
      </c>
      <c r="N86" s="179">
        <v>26000</v>
      </c>
      <c r="O86" s="179">
        <v>35000</v>
      </c>
      <c r="P86" s="179">
        <v>42000</v>
      </c>
      <c r="Q86" s="179">
        <v>52000</v>
      </c>
      <c r="R86" s="179" t="s">
        <v>174</v>
      </c>
      <c r="S86" s="179" t="s">
        <v>40</v>
      </c>
      <c r="T86" s="179" t="s">
        <v>828</v>
      </c>
      <c r="U86" s="179" t="s">
        <v>829</v>
      </c>
      <c r="V86" s="179" t="s">
        <v>830</v>
      </c>
      <c r="W86" s="64" t="s">
        <v>831</v>
      </c>
      <c r="X86" s="64" t="s">
        <v>45</v>
      </c>
    </row>
    <row r="87" s="1" customFormat="1" ht="50" customHeight="1" spans="1:24">
      <c r="A87" s="180">
        <v>74</v>
      </c>
      <c r="B87" s="204" t="s">
        <v>530</v>
      </c>
      <c r="C87" s="220" t="str">
        <f>_xlfn.DISPIMG("ID_A6F025CCCD2A49668E318B310BB2E213",1)</f>
        <v>=DISPIMG("ID_A6F025CCCD2A49668E318B310BB2E213",1)</v>
      </c>
      <c r="D87" s="66" t="s">
        <v>832</v>
      </c>
      <c r="E87" s="208" t="s">
        <v>833</v>
      </c>
      <c r="F87" s="111" t="s">
        <v>834</v>
      </c>
      <c r="G87" s="111" t="s">
        <v>802</v>
      </c>
      <c r="H87" s="107" t="s">
        <v>835</v>
      </c>
      <c r="I87" s="107" t="s">
        <v>836</v>
      </c>
      <c r="J87" s="292" t="s">
        <v>837</v>
      </c>
      <c r="K87" s="183">
        <v>97.7</v>
      </c>
      <c r="L87" s="183">
        <v>137.2</v>
      </c>
      <c r="M87" s="183">
        <v>16</v>
      </c>
      <c r="N87" s="184">
        <v>18000</v>
      </c>
      <c r="O87" s="184">
        <v>24000</v>
      </c>
      <c r="P87" s="184">
        <v>30000</v>
      </c>
      <c r="Q87" s="184">
        <v>40000</v>
      </c>
      <c r="R87" s="184" t="s">
        <v>838</v>
      </c>
      <c r="S87" s="184" t="s">
        <v>40</v>
      </c>
      <c r="T87" s="184" t="s">
        <v>839</v>
      </c>
      <c r="U87" s="184" t="s">
        <v>840</v>
      </c>
      <c r="V87" s="107" t="s">
        <v>841</v>
      </c>
      <c r="W87" s="111" t="s">
        <v>842</v>
      </c>
      <c r="X87" s="111" t="s">
        <v>843</v>
      </c>
    </row>
    <row r="88" s="1" customFormat="1" ht="50" customHeight="1" spans="1:24">
      <c r="A88" s="190">
        <v>75</v>
      </c>
      <c r="B88" s="121" t="s">
        <v>530</v>
      </c>
      <c r="C88" s="200" t="str">
        <f>_xlfn.DISPIMG("ID_D3746F5F0C434E6C947859C6AE53CE2A",1)</f>
        <v>=DISPIMG("ID_D3746F5F0C434E6C947859C6AE53CE2A",1)</v>
      </c>
      <c r="D88" s="23" t="s">
        <v>844</v>
      </c>
      <c r="E88" s="178" t="s">
        <v>845</v>
      </c>
      <c r="F88" s="64" t="s">
        <v>846</v>
      </c>
      <c r="G88" s="64" t="s">
        <v>824</v>
      </c>
      <c r="H88" s="64" t="s">
        <v>847</v>
      </c>
      <c r="I88" s="114" t="s">
        <v>848</v>
      </c>
      <c r="J88" s="114" t="s">
        <v>849</v>
      </c>
      <c r="K88" s="152">
        <v>81.7</v>
      </c>
      <c r="L88" s="152">
        <v>207.4</v>
      </c>
      <c r="M88" s="152">
        <v>5.1</v>
      </c>
      <c r="N88" s="179">
        <v>18000</v>
      </c>
      <c r="O88" s="179">
        <v>35000</v>
      </c>
      <c r="P88" s="179">
        <v>50000</v>
      </c>
      <c r="Q88" s="179">
        <v>60000</v>
      </c>
      <c r="R88" s="179" t="s">
        <v>186</v>
      </c>
      <c r="S88" s="179" t="s">
        <v>40</v>
      </c>
      <c r="T88" s="179" t="s">
        <v>850</v>
      </c>
      <c r="U88" s="179" t="s">
        <v>851</v>
      </c>
      <c r="V88" s="179" t="s">
        <v>852</v>
      </c>
      <c r="W88" s="64" t="s">
        <v>853</v>
      </c>
      <c r="X88" s="64" t="s">
        <v>854</v>
      </c>
    </row>
    <row r="89" s="1" customFormat="1" ht="50" customHeight="1" spans="1:24">
      <c r="A89" s="180">
        <v>76</v>
      </c>
      <c r="B89" s="66"/>
      <c r="C89" s="66" t="str">
        <f>_xlfn.DISPIMG("ID_FDC8BBE22A3C48C7BED29A4072716614",1)</f>
        <v>=DISPIMG("ID_FDC8BBE22A3C48C7BED29A4072716614",1)</v>
      </c>
      <c r="D89" s="66" t="s">
        <v>855</v>
      </c>
      <c r="E89" s="208" t="s">
        <v>856</v>
      </c>
      <c r="F89" s="111">
        <v>29994506811</v>
      </c>
      <c r="G89" s="111" t="s">
        <v>824</v>
      </c>
      <c r="H89" s="111" t="s">
        <v>857</v>
      </c>
      <c r="I89" s="107" t="s">
        <v>858</v>
      </c>
      <c r="J89" s="292" t="s">
        <v>859</v>
      </c>
      <c r="K89" s="183">
        <v>44.6</v>
      </c>
      <c r="L89" s="183">
        <v>49.3</v>
      </c>
      <c r="M89" s="183">
        <v>2.3</v>
      </c>
      <c r="N89" s="184">
        <v>15000</v>
      </c>
      <c r="O89" s="184">
        <v>22000</v>
      </c>
      <c r="P89" s="184">
        <v>30000</v>
      </c>
      <c r="Q89" s="184" t="s">
        <v>40</v>
      </c>
      <c r="R89" s="184" t="s">
        <v>64</v>
      </c>
      <c r="S89" s="184" t="s">
        <v>40</v>
      </c>
      <c r="T89" s="184" t="s">
        <v>860</v>
      </c>
      <c r="U89" s="184" t="s">
        <v>861</v>
      </c>
      <c r="V89" s="107" t="s">
        <v>862</v>
      </c>
      <c r="W89" s="111" t="s">
        <v>863</v>
      </c>
      <c r="X89" s="111" t="s">
        <v>574</v>
      </c>
    </row>
    <row r="90" s="1" customFormat="1" ht="50" customHeight="1" spans="1:24">
      <c r="A90" s="190">
        <v>77</v>
      </c>
      <c r="B90" s="121"/>
      <c r="C90" s="200" t="str">
        <f>_xlfn.DISPIMG("ID_5C96A558D2814A1081C1D1C7C29F22F8",1)</f>
        <v>=DISPIMG("ID_5C96A558D2814A1081C1D1C7C29F22F8",1)</v>
      </c>
      <c r="D90" s="23" t="s">
        <v>864</v>
      </c>
      <c r="E90" s="178" t="s">
        <v>865</v>
      </c>
      <c r="F90" s="64" t="s">
        <v>866</v>
      </c>
      <c r="G90" s="64" t="s">
        <v>867</v>
      </c>
      <c r="H90" s="64" t="s">
        <v>868</v>
      </c>
      <c r="I90" s="114" t="s">
        <v>869</v>
      </c>
      <c r="J90" s="114" t="s">
        <v>870</v>
      </c>
      <c r="K90" s="152">
        <v>129.7</v>
      </c>
      <c r="L90" s="152">
        <v>445.3</v>
      </c>
      <c r="M90" s="152">
        <v>20.6</v>
      </c>
      <c r="N90" s="179">
        <v>22000</v>
      </c>
      <c r="O90" s="179">
        <v>22000</v>
      </c>
      <c r="P90" s="179">
        <v>32500</v>
      </c>
      <c r="Q90" s="179">
        <v>42500</v>
      </c>
      <c r="R90" s="179" t="s">
        <v>186</v>
      </c>
      <c r="S90" s="179">
        <v>22000</v>
      </c>
      <c r="T90" s="179" t="s">
        <v>871</v>
      </c>
      <c r="U90" s="179" t="s">
        <v>872</v>
      </c>
      <c r="V90" s="179" t="s">
        <v>873</v>
      </c>
      <c r="W90" s="64" t="s">
        <v>874</v>
      </c>
      <c r="X90" s="64" t="s">
        <v>45</v>
      </c>
    </row>
    <row r="91" s="1" customFormat="1" ht="50" customHeight="1" spans="1:24">
      <c r="A91" s="180">
        <v>78</v>
      </c>
      <c r="B91" s="66"/>
      <c r="C91" s="66" t="str">
        <f>_xlfn.DISPIMG("ID_854255A79A754EAEB34FAE071AA75CD8",1)</f>
        <v>=DISPIMG("ID_854255A79A754EAEB34FAE071AA75CD8",1)</v>
      </c>
      <c r="D91" s="66" t="s">
        <v>875</v>
      </c>
      <c r="E91" s="208" t="s">
        <v>876</v>
      </c>
      <c r="F91" s="111" t="s">
        <v>877</v>
      </c>
      <c r="G91" s="111" t="s">
        <v>878</v>
      </c>
      <c r="H91" s="111" t="s">
        <v>879</v>
      </c>
      <c r="I91" s="107" t="s">
        <v>880</v>
      </c>
      <c r="J91" s="107" t="s">
        <v>881</v>
      </c>
      <c r="K91" s="183">
        <v>19.4</v>
      </c>
      <c r="L91" s="183" t="s">
        <v>40</v>
      </c>
      <c r="M91" s="183" t="s">
        <v>40</v>
      </c>
      <c r="N91" s="184">
        <v>8000</v>
      </c>
      <c r="O91" s="184">
        <v>12000</v>
      </c>
      <c r="P91" s="184">
        <v>16000</v>
      </c>
      <c r="Q91" s="184">
        <v>26000</v>
      </c>
      <c r="R91" s="184" t="s">
        <v>186</v>
      </c>
      <c r="S91" s="184" t="s">
        <v>40</v>
      </c>
      <c r="T91" s="184" t="s">
        <v>882</v>
      </c>
      <c r="U91" s="184" t="s">
        <v>883</v>
      </c>
      <c r="V91" s="107" t="s">
        <v>884</v>
      </c>
      <c r="W91" s="111" t="s">
        <v>885</v>
      </c>
      <c r="X91" s="111" t="s">
        <v>542</v>
      </c>
    </row>
    <row r="92" s="1" customFormat="1" ht="50" customHeight="1" spans="1:24">
      <c r="A92" s="190">
        <v>79</v>
      </c>
      <c r="B92" s="121"/>
      <c r="C92" s="200" t="str">
        <f>_xlfn.DISPIMG("ID_AD67692D60824374B3128ACC0AAAE321",1)</f>
        <v>=DISPIMG("ID_AD67692D60824374B3128ACC0AAAE321",1)</v>
      </c>
      <c r="D92" s="23" t="s">
        <v>886</v>
      </c>
      <c r="E92" s="178" t="s">
        <v>887</v>
      </c>
      <c r="F92" s="64">
        <v>61264522222</v>
      </c>
      <c r="G92" s="64" t="s">
        <v>888</v>
      </c>
      <c r="H92" s="64" t="s">
        <v>889</v>
      </c>
      <c r="I92" s="114" t="s">
        <v>890</v>
      </c>
      <c r="J92" s="114" t="s">
        <v>891</v>
      </c>
      <c r="K92" s="152">
        <v>41</v>
      </c>
      <c r="L92" s="152">
        <v>47</v>
      </c>
      <c r="M92" s="152">
        <v>0.9</v>
      </c>
      <c r="N92" s="179">
        <v>18000</v>
      </c>
      <c r="O92" s="179">
        <v>19000</v>
      </c>
      <c r="P92" s="179">
        <v>21000</v>
      </c>
      <c r="Q92" s="179">
        <v>31000</v>
      </c>
      <c r="R92" s="179" t="s">
        <v>186</v>
      </c>
      <c r="S92" s="179" t="s">
        <v>40</v>
      </c>
      <c r="T92" s="179" t="s">
        <v>892</v>
      </c>
      <c r="U92" s="179" t="s">
        <v>893</v>
      </c>
      <c r="V92" s="179" t="s">
        <v>894</v>
      </c>
      <c r="W92" s="64" t="s">
        <v>895</v>
      </c>
      <c r="X92" s="64" t="s">
        <v>45</v>
      </c>
    </row>
    <row r="93" s="1" customFormat="1" ht="50" customHeight="1" spans="1:24">
      <c r="A93" s="180">
        <v>80</v>
      </c>
      <c r="B93" s="66"/>
      <c r="C93" s="66" t="str">
        <f>_xlfn.DISPIMG("ID_620D9C3282B04B5FA66BA776BA516595",1)</f>
        <v>=DISPIMG("ID_620D9C3282B04B5FA66BA776BA516595",1)</v>
      </c>
      <c r="D93" s="66" t="s">
        <v>896</v>
      </c>
      <c r="E93" s="208" t="s">
        <v>897</v>
      </c>
      <c r="F93" s="111" t="s">
        <v>898</v>
      </c>
      <c r="G93" s="111" t="s">
        <v>824</v>
      </c>
      <c r="H93" s="111" t="s">
        <v>899</v>
      </c>
      <c r="I93" s="107" t="s">
        <v>900</v>
      </c>
      <c r="J93" s="292" t="s">
        <v>901</v>
      </c>
      <c r="K93" s="183">
        <v>5.8</v>
      </c>
      <c r="L93" s="183">
        <v>15.4</v>
      </c>
      <c r="M93" s="183">
        <v>0.3</v>
      </c>
      <c r="N93" s="184">
        <v>3000</v>
      </c>
      <c r="O93" s="184">
        <v>5000</v>
      </c>
      <c r="P93" s="184">
        <v>6000</v>
      </c>
      <c r="Q93" s="184" t="s">
        <v>40</v>
      </c>
      <c r="R93" s="184" t="s">
        <v>40</v>
      </c>
      <c r="S93" s="184" t="s">
        <v>40</v>
      </c>
      <c r="T93" s="184" t="s">
        <v>40</v>
      </c>
      <c r="U93" s="184" t="s">
        <v>40</v>
      </c>
      <c r="V93" s="107" t="s">
        <v>40</v>
      </c>
      <c r="W93" s="111" t="s">
        <v>40</v>
      </c>
      <c r="X93" s="111" t="s">
        <v>902</v>
      </c>
    </row>
    <row r="94" s="162" customFormat="1" ht="25" customHeight="1" spans="1:24">
      <c r="A94" s="229"/>
      <c r="B94" s="229"/>
      <c r="C94" s="229"/>
      <c r="D94" s="229"/>
      <c r="E94" s="229"/>
      <c r="F94" s="229"/>
      <c r="G94" s="229"/>
      <c r="H94" s="229"/>
      <c r="I94" s="230"/>
      <c r="J94" s="231" t="s">
        <v>903</v>
      </c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</row>
    <row r="95" s="1" customFormat="1" ht="50" customHeight="1" spans="1:24">
      <c r="A95" s="180">
        <v>81</v>
      </c>
      <c r="B95" s="220"/>
      <c r="C95" s="189" t="str">
        <f>_xlfn.DISPIMG("ID_3F1759559AB940A6A95E542A6EDD73B0",1)</f>
        <v>=DISPIMG("ID_3F1759559AB940A6A95E542A6EDD73B0",1)</v>
      </c>
      <c r="D95" s="66" t="s">
        <v>904</v>
      </c>
      <c r="E95" s="208" t="s">
        <v>905</v>
      </c>
      <c r="F95" s="111" t="s">
        <v>906</v>
      </c>
      <c r="G95" s="111" t="s">
        <v>182</v>
      </c>
      <c r="H95" s="111" t="s">
        <v>907</v>
      </c>
      <c r="I95" s="107" t="s">
        <v>908</v>
      </c>
      <c r="J95" s="107" t="s">
        <v>909</v>
      </c>
      <c r="K95" s="183">
        <v>495.8</v>
      </c>
      <c r="L95" s="183">
        <v>250.1</v>
      </c>
      <c r="M95" s="183">
        <v>7</v>
      </c>
      <c r="N95" s="184">
        <v>50000</v>
      </c>
      <c r="O95" s="184">
        <v>68000</v>
      </c>
      <c r="P95" s="184">
        <v>80000</v>
      </c>
      <c r="Q95" s="184">
        <v>90000</v>
      </c>
      <c r="R95" s="184" t="s">
        <v>186</v>
      </c>
      <c r="S95" s="184">
        <v>68000</v>
      </c>
      <c r="T95" s="184" t="s">
        <v>910</v>
      </c>
      <c r="U95" s="184" t="s">
        <v>911</v>
      </c>
      <c r="V95" s="184" t="s">
        <v>912</v>
      </c>
      <c r="W95" s="111" t="s">
        <v>913</v>
      </c>
      <c r="X95" s="111" t="s">
        <v>45</v>
      </c>
    </row>
    <row r="96" s="1" customFormat="1" ht="50" customHeight="1" spans="1:24">
      <c r="A96" s="190">
        <v>82</v>
      </c>
      <c r="B96" s="121" t="s">
        <v>324</v>
      </c>
      <c r="C96" s="200" t="str">
        <f>_xlfn.DISPIMG("ID_0DCD5B3AA2464438B079367360238EC8",1)</f>
        <v>=DISPIMG("ID_0DCD5B3AA2464438B079367360238EC8",1)</v>
      </c>
      <c r="D96" s="23" t="s">
        <v>914</v>
      </c>
      <c r="E96" s="187" t="s">
        <v>915</v>
      </c>
      <c r="F96" s="64">
        <v>179766600</v>
      </c>
      <c r="G96" s="232" t="s">
        <v>170</v>
      </c>
      <c r="H96" s="64" t="s">
        <v>916</v>
      </c>
      <c r="I96" s="114" t="s">
        <v>917</v>
      </c>
      <c r="J96" s="114" t="s">
        <v>918</v>
      </c>
      <c r="K96" s="152">
        <v>294.3</v>
      </c>
      <c r="L96" s="152">
        <v>50.3</v>
      </c>
      <c r="M96" s="152">
        <v>3.6</v>
      </c>
      <c r="N96" s="179">
        <v>34000</v>
      </c>
      <c r="O96" s="179">
        <v>42000</v>
      </c>
      <c r="P96" s="179">
        <v>50000</v>
      </c>
      <c r="Q96" s="179">
        <v>60000</v>
      </c>
      <c r="R96" s="179" t="s">
        <v>186</v>
      </c>
      <c r="S96" s="179">
        <v>38000</v>
      </c>
      <c r="T96" s="179" t="s">
        <v>919</v>
      </c>
      <c r="U96" s="179" t="s">
        <v>920</v>
      </c>
      <c r="V96" s="114" t="s">
        <v>921</v>
      </c>
      <c r="W96" s="64" t="s">
        <v>922</v>
      </c>
      <c r="X96" s="64" t="s">
        <v>135</v>
      </c>
    </row>
    <row r="97" s="165" customFormat="1" ht="25" customHeight="1" spans="1:24">
      <c r="A97" s="233"/>
      <c r="B97" s="233"/>
      <c r="C97" s="233"/>
      <c r="D97" s="233"/>
      <c r="E97" s="233"/>
      <c r="F97" s="233"/>
      <c r="G97" s="233"/>
      <c r="H97" s="233"/>
      <c r="I97" s="234"/>
      <c r="J97" s="235" t="s">
        <v>923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</row>
    <row r="98" s="3" customFormat="1" ht="50" customHeight="1" spans="1:24">
      <c r="A98" s="190">
        <v>83</v>
      </c>
      <c r="B98" s="121"/>
      <c r="C98" s="200" t="str">
        <f>_xlfn.DISPIMG("ID_6DDB3F0B8C864F73A8C54F8BBC2991AA",1)</f>
        <v>=DISPIMG("ID_6DDB3F0B8C864F73A8C54F8BBC2991AA",1)</v>
      </c>
      <c r="D98" s="23" t="s">
        <v>924</v>
      </c>
      <c r="E98" s="201" t="s">
        <v>925</v>
      </c>
      <c r="F98" s="13">
        <v>117893265</v>
      </c>
      <c r="G98" s="202" t="s">
        <v>926</v>
      </c>
      <c r="H98" s="13" t="s">
        <v>927</v>
      </c>
      <c r="I98" s="16" t="s">
        <v>928</v>
      </c>
      <c r="J98" s="16" t="s">
        <v>929</v>
      </c>
      <c r="K98" s="27">
        <v>553.5</v>
      </c>
      <c r="L98" s="27">
        <v>27.4</v>
      </c>
      <c r="M98" s="27">
        <v>2.3</v>
      </c>
      <c r="N98" s="18">
        <v>75000</v>
      </c>
      <c r="O98" s="18">
        <v>85000</v>
      </c>
      <c r="P98" s="18">
        <v>123500</v>
      </c>
      <c r="Q98" s="18">
        <v>125000</v>
      </c>
      <c r="R98" s="25" t="s">
        <v>186</v>
      </c>
      <c r="S98" s="18">
        <v>85000</v>
      </c>
      <c r="T98" s="25" t="s">
        <v>930</v>
      </c>
      <c r="U98" s="25" t="s">
        <v>931</v>
      </c>
      <c r="V98" s="16" t="s">
        <v>932</v>
      </c>
      <c r="W98" s="13" t="s">
        <v>933</v>
      </c>
      <c r="X98" s="13" t="s">
        <v>45</v>
      </c>
    </row>
    <row r="99" s="3" customFormat="1" ht="50" customHeight="1" spans="1:24">
      <c r="A99" s="203">
        <v>84</v>
      </c>
      <c r="B99" s="204" t="s">
        <v>530</v>
      </c>
      <c r="C99" s="206" t="str">
        <f>_xlfn.DISPIMG("ID_B04708EBD51D47E89C0F5A8CA1C42320",1)</f>
        <v>=DISPIMG("ID_B04708EBD51D47E89C0F5A8CA1C42320",1)</v>
      </c>
      <c r="D99" s="206" t="s">
        <v>934</v>
      </c>
      <c r="E99" s="181" t="s">
        <v>935</v>
      </c>
      <c r="F99" s="111" t="s">
        <v>936</v>
      </c>
      <c r="G99" s="182" t="s">
        <v>937</v>
      </c>
      <c r="H99" s="182" t="s">
        <v>938</v>
      </c>
      <c r="I99" s="182" t="s">
        <v>939</v>
      </c>
      <c r="J99" s="107" t="s">
        <v>940</v>
      </c>
      <c r="K99" s="183">
        <v>75.4</v>
      </c>
      <c r="L99" s="183">
        <v>46.1</v>
      </c>
      <c r="M99" s="183">
        <v>1.8</v>
      </c>
      <c r="N99" s="151">
        <v>15000</v>
      </c>
      <c r="O99" s="151">
        <v>25000</v>
      </c>
      <c r="P99" s="151">
        <v>29000</v>
      </c>
      <c r="Q99" s="151">
        <v>39000</v>
      </c>
      <c r="R99" s="184" t="s">
        <v>186</v>
      </c>
      <c r="S99" s="151" t="s">
        <v>40</v>
      </c>
      <c r="T99" s="184" t="s">
        <v>941</v>
      </c>
      <c r="U99" s="184" t="s">
        <v>942</v>
      </c>
      <c r="V99" s="107" t="s">
        <v>943</v>
      </c>
      <c r="W99" s="111" t="s">
        <v>944</v>
      </c>
      <c r="X99" s="111" t="s">
        <v>945</v>
      </c>
    </row>
    <row r="100" s="3" customFormat="1" ht="50" customHeight="1" spans="1:24">
      <c r="A100" s="190">
        <v>85</v>
      </c>
      <c r="B100" s="121"/>
      <c r="C100" s="200" t="str">
        <f>_xlfn.DISPIMG("ID_297283D20B12454EBBC647E91C93E809",1)</f>
        <v>=DISPIMG("ID_297283D20B12454EBBC647E91C93E809",1)</v>
      </c>
      <c r="D100" s="23" t="s">
        <v>946</v>
      </c>
      <c r="E100" s="201" t="s">
        <v>947</v>
      </c>
      <c r="F100" s="13" t="s">
        <v>948</v>
      </c>
      <c r="G100" s="202" t="s">
        <v>949</v>
      </c>
      <c r="H100" s="13" t="s">
        <v>950</v>
      </c>
      <c r="I100" s="16" t="s">
        <v>951</v>
      </c>
      <c r="J100" s="16" t="s">
        <v>952</v>
      </c>
      <c r="K100" s="27">
        <v>314.9</v>
      </c>
      <c r="L100" s="27">
        <v>412.1</v>
      </c>
      <c r="M100" s="27">
        <v>7.8</v>
      </c>
      <c r="N100" s="18">
        <v>20000</v>
      </c>
      <c r="O100" s="18">
        <v>35000</v>
      </c>
      <c r="P100" s="18">
        <v>50000</v>
      </c>
      <c r="Q100" s="18">
        <v>60000</v>
      </c>
      <c r="R100" s="25" t="s">
        <v>186</v>
      </c>
      <c r="S100" s="18">
        <v>35000</v>
      </c>
      <c r="T100" s="25" t="s">
        <v>953</v>
      </c>
      <c r="U100" s="25" t="s">
        <v>954</v>
      </c>
      <c r="V100" s="16" t="s">
        <v>955</v>
      </c>
      <c r="W100" s="13" t="s">
        <v>956</v>
      </c>
      <c r="X100" s="13" t="s">
        <v>45</v>
      </c>
    </row>
    <row r="101" s="3" customFormat="1" ht="50" customHeight="1" spans="1:24">
      <c r="A101" s="203">
        <v>86</v>
      </c>
      <c r="B101" s="204"/>
      <c r="C101" s="206" t="str">
        <f>_xlfn.DISPIMG("ID_612738D3F3D7428DA6E4E321C90CFF9C",1)</f>
        <v>=DISPIMG("ID_612738D3F3D7428DA6E4E321C90CFF9C",1)</v>
      </c>
      <c r="D101" s="206" t="s">
        <v>957</v>
      </c>
      <c r="E101" s="181" t="s">
        <v>958</v>
      </c>
      <c r="F101" s="111" t="s">
        <v>959</v>
      </c>
      <c r="G101" s="182" t="s">
        <v>117</v>
      </c>
      <c r="H101" s="182" t="s">
        <v>960</v>
      </c>
      <c r="I101" s="182" t="s">
        <v>961</v>
      </c>
      <c r="J101" s="107" t="s">
        <v>962</v>
      </c>
      <c r="K101" s="183">
        <v>186.6</v>
      </c>
      <c r="L101" s="183">
        <v>70.4</v>
      </c>
      <c r="M101" s="183">
        <v>2.3</v>
      </c>
      <c r="N101" s="151">
        <v>28000</v>
      </c>
      <c r="O101" s="151">
        <v>30000</v>
      </c>
      <c r="P101" s="151">
        <v>40000</v>
      </c>
      <c r="Q101" s="151">
        <v>50000</v>
      </c>
      <c r="R101" s="184" t="s">
        <v>186</v>
      </c>
      <c r="S101" s="151" t="s">
        <v>40</v>
      </c>
      <c r="T101" s="184" t="s">
        <v>963</v>
      </c>
      <c r="U101" s="184" t="s">
        <v>964</v>
      </c>
      <c r="V101" s="107" t="s">
        <v>965</v>
      </c>
      <c r="W101" s="111" t="s">
        <v>966</v>
      </c>
      <c r="X101" s="111" t="s">
        <v>45</v>
      </c>
    </row>
    <row r="102" s="3" customFormat="1" ht="50" customHeight="1" spans="1:24">
      <c r="A102" s="190">
        <v>87</v>
      </c>
      <c r="B102" s="121"/>
      <c r="C102" s="200" t="str">
        <f>_xlfn.DISPIMG("ID_3E180515AB144A13AC6A0CFDD9779ECC",1)</f>
        <v>=DISPIMG("ID_3E180515AB144A13AC6A0CFDD9779ECC",1)</v>
      </c>
      <c r="D102" s="23" t="s">
        <v>967</v>
      </c>
      <c r="E102" s="201" t="s">
        <v>968</v>
      </c>
      <c r="F102" s="13">
        <v>202452578</v>
      </c>
      <c r="G102" s="202" t="s">
        <v>117</v>
      </c>
      <c r="H102" s="13" t="s">
        <v>969</v>
      </c>
      <c r="I102" s="16" t="s">
        <v>970</v>
      </c>
      <c r="J102" s="294" t="s">
        <v>971</v>
      </c>
      <c r="K102" s="27">
        <v>103</v>
      </c>
      <c r="L102" s="27">
        <v>207.4</v>
      </c>
      <c r="M102" s="27">
        <v>8.9</v>
      </c>
      <c r="N102" s="18">
        <v>30000</v>
      </c>
      <c r="O102" s="18">
        <v>40000</v>
      </c>
      <c r="P102" s="18">
        <v>50000</v>
      </c>
      <c r="Q102" s="18" t="s">
        <v>40</v>
      </c>
      <c r="R102" s="25" t="s">
        <v>972</v>
      </c>
      <c r="S102" s="18" t="s">
        <v>40</v>
      </c>
      <c r="T102" s="25" t="s">
        <v>973</v>
      </c>
      <c r="U102" s="25" t="s">
        <v>974</v>
      </c>
      <c r="V102" s="16" t="s">
        <v>975</v>
      </c>
      <c r="W102" s="13" t="s">
        <v>976</v>
      </c>
      <c r="X102" s="13" t="s">
        <v>585</v>
      </c>
    </row>
    <row r="103" s="3" customFormat="1" ht="50" customHeight="1" spans="1:24">
      <c r="A103" s="203">
        <v>88</v>
      </c>
      <c r="B103" s="204"/>
      <c r="C103" s="206" t="str">
        <f>_xlfn.DISPIMG("ID_EEBF5E77A1DE4AEEB8510110E4CA81D1",1)</f>
        <v>=DISPIMG("ID_EEBF5E77A1DE4AEEB8510110E4CA81D1",1)</v>
      </c>
      <c r="D103" s="206" t="s">
        <v>977</v>
      </c>
      <c r="E103" s="181" t="s">
        <v>978</v>
      </c>
      <c r="F103" s="111" t="s">
        <v>979</v>
      </c>
      <c r="G103" s="182" t="s">
        <v>980</v>
      </c>
      <c r="H103" s="182" t="s">
        <v>981</v>
      </c>
      <c r="I103" s="107" t="s">
        <v>982</v>
      </c>
      <c r="J103" s="292" t="s">
        <v>983</v>
      </c>
      <c r="K103" s="183">
        <v>3.1</v>
      </c>
      <c r="L103" s="183" t="s">
        <v>40</v>
      </c>
      <c r="M103" s="183" t="s">
        <v>40</v>
      </c>
      <c r="N103" s="151" t="s">
        <v>40</v>
      </c>
      <c r="O103" s="151">
        <v>5000</v>
      </c>
      <c r="P103" s="151">
        <v>5000</v>
      </c>
      <c r="Q103" s="151" t="s">
        <v>40</v>
      </c>
      <c r="R103" s="184" t="s">
        <v>40</v>
      </c>
      <c r="S103" s="151" t="s">
        <v>40</v>
      </c>
      <c r="T103" s="184" t="s">
        <v>40</v>
      </c>
      <c r="U103" s="184" t="s">
        <v>40</v>
      </c>
      <c r="V103" s="107" t="s">
        <v>40</v>
      </c>
      <c r="W103" s="111" t="s">
        <v>40</v>
      </c>
      <c r="X103" s="111" t="s">
        <v>45</v>
      </c>
    </row>
    <row r="104" s="3" customFormat="1" ht="50" customHeight="1" spans="1:24">
      <c r="A104" s="190">
        <v>89</v>
      </c>
      <c r="B104" s="121"/>
      <c r="C104" s="200" t="str">
        <f>_xlfn.DISPIMG("ID_3590528A77D7476FB7E6DFF756D262DE",1)</f>
        <v>=DISPIMG("ID_3590528A77D7476FB7E6DFF756D262DE",1)</v>
      </c>
      <c r="D104" s="23" t="s">
        <v>984</v>
      </c>
      <c r="E104" s="201" t="s">
        <v>985</v>
      </c>
      <c r="F104" s="13">
        <v>83826297424</v>
      </c>
      <c r="G104" s="202" t="s">
        <v>986</v>
      </c>
      <c r="H104" s="13" t="s">
        <v>987</v>
      </c>
      <c r="I104" s="16" t="s">
        <v>988</v>
      </c>
      <c r="J104" s="294" t="s">
        <v>989</v>
      </c>
      <c r="K104" s="27">
        <v>64.3</v>
      </c>
      <c r="L104" s="27">
        <v>14</v>
      </c>
      <c r="M104" s="27">
        <v>0.2</v>
      </c>
      <c r="N104" s="18">
        <v>16000</v>
      </c>
      <c r="O104" s="18">
        <v>18000</v>
      </c>
      <c r="P104" s="18">
        <v>20000</v>
      </c>
      <c r="Q104" s="18" t="s">
        <v>40</v>
      </c>
      <c r="R104" s="25" t="s">
        <v>174</v>
      </c>
      <c r="S104" s="18" t="s">
        <v>40</v>
      </c>
      <c r="T104" s="25" t="s">
        <v>990</v>
      </c>
      <c r="U104" s="25" t="s">
        <v>991</v>
      </c>
      <c r="V104" s="16" t="s">
        <v>992</v>
      </c>
      <c r="W104" s="13" t="s">
        <v>993</v>
      </c>
      <c r="X104" s="13" t="s">
        <v>585</v>
      </c>
    </row>
    <row r="105" s="3" customFormat="1" ht="50" customHeight="1" spans="1:24">
      <c r="A105" s="203">
        <v>90</v>
      </c>
      <c r="B105" s="204"/>
      <c r="C105" s="206" t="str">
        <f>_xlfn.DISPIMG("ID_830D7BF9822C4C5DA11066C440555B66",1)</f>
        <v>=DISPIMG("ID_830D7BF9822C4C5DA11066C440555B66",1)</v>
      </c>
      <c r="D105" s="206" t="s">
        <v>994</v>
      </c>
      <c r="E105" s="181" t="s">
        <v>995</v>
      </c>
      <c r="F105" s="111" t="s">
        <v>996</v>
      </c>
      <c r="G105" s="182" t="s">
        <v>997</v>
      </c>
      <c r="H105" s="182" t="s">
        <v>998</v>
      </c>
      <c r="I105" s="107" t="s">
        <v>999</v>
      </c>
      <c r="J105" s="107" t="s">
        <v>1000</v>
      </c>
      <c r="K105" s="183">
        <v>51.6</v>
      </c>
      <c r="L105" s="183">
        <v>67.6</v>
      </c>
      <c r="M105" s="183">
        <v>3.4</v>
      </c>
      <c r="N105" s="151">
        <v>12000</v>
      </c>
      <c r="O105" s="151">
        <v>13000</v>
      </c>
      <c r="P105" s="151">
        <v>18000</v>
      </c>
      <c r="Q105" s="151">
        <v>28000</v>
      </c>
      <c r="R105" s="184" t="s">
        <v>186</v>
      </c>
      <c r="S105" s="151">
        <v>13000</v>
      </c>
      <c r="T105" s="184" t="s">
        <v>1001</v>
      </c>
      <c r="U105" s="184" t="s">
        <v>1002</v>
      </c>
      <c r="V105" s="107" t="s">
        <v>1003</v>
      </c>
      <c r="W105" s="111" t="s">
        <v>1004</v>
      </c>
      <c r="X105" s="111" t="s">
        <v>45</v>
      </c>
    </row>
    <row r="106" s="3" customFormat="1" ht="50" customHeight="1" spans="1:24">
      <c r="A106" s="190">
        <v>91</v>
      </c>
      <c r="B106" s="121"/>
      <c r="C106" s="200" t="str">
        <f>_xlfn.DISPIMG("ID_7B85263DD4C34EB09E8EAAB6FD778BC0",1)</f>
        <v>=DISPIMG("ID_7B85263DD4C34EB09E8EAAB6FD778BC0",1)</v>
      </c>
      <c r="D106" s="23" t="s">
        <v>1005</v>
      </c>
      <c r="E106" s="201" t="s">
        <v>1006</v>
      </c>
      <c r="F106" s="13" t="s">
        <v>1007</v>
      </c>
      <c r="G106" s="202" t="s">
        <v>1008</v>
      </c>
      <c r="H106" s="13" t="s">
        <v>1009</v>
      </c>
      <c r="I106" s="16" t="s">
        <v>1010</v>
      </c>
      <c r="J106" s="16" t="s">
        <v>1011</v>
      </c>
      <c r="K106" s="27">
        <v>39.6</v>
      </c>
      <c r="L106" s="27">
        <v>713.1</v>
      </c>
      <c r="M106" s="27">
        <v>15.7</v>
      </c>
      <c r="N106" s="18">
        <v>22000</v>
      </c>
      <c r="O106" s="18">
        <v>25000</v>
      </c>
      <c r="P106" s="18">
        <v>28000</v>
      </c>
      <c r="Q106" s="18">
        <v>38000</v>
      </c>
      <c r="R106" s="25" t="s">
        <v>186</v>
      </c>
      <c r="S106" s="18" t="s">
        <v>40</v>
      </c>
      <c r="T106" s="25" t="s">
        <v>1012</v>
      </c>
      <c r="U106" s="25" t="s">
        <v>1013</v>
      </c>
      <c r="V106" s="16" t="s">
        <v>1014</v>
      </c>
      <c r="W106" s="13" t="s">
        <v>1015</v>
      </c>
      <c r="X106" s="13" t="s">
        <v>45</v>
      </c>
    </row>
    <row r="107" s="3" customFormat="1" ht="50" customHeight="1" spans="1:24">
      <c r="A107" s="203">
        <v>92</v>
      </c>
      <c r="B107" s="204"/>
      <c r="C107" s="206" t="str">
        <f>_xlfn.DISPIMG("ID_1854D7164B524CD2A6F27AFCD5B8ADB0",1)</f>
        <v>=DISPIMG("ID_1854D7164B524CD2A6F27AFCD5B8ADB0",1)</v>
      </c>
      <c r="D107" s="206" t="s">
        <v>1016</v>
      </c>
      <c r="E107" s="181" t="s">
        <v>1017</v>
      </c>
      <c r="F107" s="111">
        <v>1580309688</v>
      </c>
      <c r="G107" s="182" t="s">
        <v>1018</v>
      </c>
      <c r="H107" s="182" t="s">
        <v>1019</v>
      </c>
      <c r="I107" s="107" t="s">
        <v>1020</v>
      </c>
      <c r="J107" s="107" t="s">
        <v>1021</v>
      </c>
      <c r="K107" s="183">
        <v>32.2</v>
      </c>
      <c r="L107" s="183">
        <v>744.8</v>
      </c>
      <c r="M107" s="183">
        <v>10.8</v>
      </c>
      <c r="N107" s="151">
        <v>15000</v>
      </c>
      <c r="O107" s="151">
        <v>18000</v>
      </c>
      <c r="P107" s="151">
        <v>20000</v>
      </c>
      <c r="Q107" s="151">
        <v>30000</v>
      </c>
      <c r="R107" s="184" t="s">
        <v>186</v>
      </c>
      <c r="S107" s="151" t="s">
        <v>40</v>
      </c>
      <c r="T107" s="184" t="s">
        <v>1022</v>
      </c>
      <c r="U107" s="184" t="s">
        <v>1023</v>
      </c>
      <c r="V107" s="107" t="s">
        <v>1024</v>
      </c>
      <c r="W107" s="111" t="s">
        <v>1025</v>
      </c>
      <c r="X107" s="111" t="s">
        <v>574</v>
      </c>
    </row>
    <row r="108" s="162" customFormat="1" ht="25" customHeight="1" spans="1:24">
      <c r="A108" s="236"/>
      <c r="B108" s="236"/>
      <c r="C108" s="236"/>
      <c r="D108" s="236"/>
      <c r="E108" s="236"/>
      <c r="F108" s="236"/>
      <c r="G108" s="236"/>
      <c r="H108" s="236"/>
      <c r="I108" s="237"/>
      <c r="J108" s="238" t="s">
        <v>1026</v>
      </c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9"/>
      <c r="X108" s="239"/>
    </row>
    <row r="109" s="163" customFormat="1" ht="50" customHeight="1" spans="1:24">
      <c r="A109" s="190">
        <v>93</v>
      </c>
      <c r="B109" s="121"/>
      <c r="C109" s="23" t="str">
        <f>_xlfn.DISPIMG("ID_FEA892292C9F41DC88FCF6A565C5188F",1)</f>
        <v>=DISPIMG("ID_FEA892292C9F41DC88FCF6A565C5188F",1)</v>
      </c>
      <c r="D109" s="23" t="s">
        <v>1027</v>
      </c>
      <c r="E109" s="209" t="s">
        <v>1028</v>
      </c>
      <c r="F109" s="13" t="s">
        <v>1029</v>
      </c>
      <c r="G109" s="16" t="s">
        <v>1030</v>
      </c>
      <c r="H109" s="13" t="s">
        <v>1031</v>
      </c>
      <c r="I109" s="16" t="s">
        <v>1032</v>
      </c>
      <c r="J109" s="16" t="s">
        <v>1033</v>
      </c>
      <c r="K109" s="27">
        <v>255.8</v>
      </c>
      <c r="L109" s="27" t="s">
        <v>40</v>
      </c>
      <c r="M109" s="27" t="s">
        <v>40</v>
      </c>
      <c r="N109" s="25">
        <v>26000</v>
      </c>
      <c r="O109" s="25">
        <v>31000</v>
      </c>
      <c r="P109" s="25">
        <v>40000</v>
      </c>
      <c r="Q109" s="25" t="s">
        <v>40</v>
      </c>
      <c r="R109" s="25" t="s">
        <v>186</v>
      </c>
      <c r="S109" s="25">
        <v>29000</v>
      </c>
      <c r="T109" s="25" t="s">
        <v>1034</v>
      </c>
      <c r="U109" s="25" t="s">
        <v>1035</v>
      </c>
      <c r="V109" s="16" t="s">
        <v>1036</v>
      </c>
      <c r="W109" s="13" t="s">
        <v>1037</v>
      </c>
      <c r="X109" s="13" t="s">
        <v>45</v>
      </c>
    </row>
    <row r="110" s="3" customFormat="1" ht="50" customHeight="1" spans="1:24">
      <c r="A110" s="203">
        <v>94</v>
      </c>
      <c r="B110" s="204"/>
      <c r="C110" s="206" t="str">
        <f>_xlfn.DISPIMG("ID_9F4621F6D66A46568A4D563A930517A3",1)</f>
        <v>=DISPIMG("ID_9F4621F6D66A46568A4D563A930517A3",1)</v>
      </c>
      <c r="D110" s="206" t="s">
        <v>1038</v>
      </c>
      <c r="E110" s="181" t="s">
        <v>1039</v>
      </c>
      <c r="F110" s="111" t="s">
        <v>1040</v>
      </c>
      <c r="G110" s="182" t="s">
        <v>1041</v>
      </c>
      <c r="H110" s="182" t="s">
        <v>1042</v>
      </c>
      <c r="I110" s="182" t="s">
        <v>1043</v>
      </c>
      <c r="J110" s="292" t="s">
        <v>1044</v>
      </c>
      <c r="K110" s="183">
        <v>25.2</v>
      </c>
      <c r="L110" s="183" t="s">
        <v>40</v>
      </c>
      <c r="M110" s="183" t="s">
        <v>40</v>
      </c>
      <c r="N110" s="151">
        <v>20000</v>
      </c>
      <c r="O110" s="151">
        <v>20000</v>
      </c>
      <c r="P110" s="151">
        <v>30000</v>
      </c>
      <c r="Q110" s="151" t="s">
        <v>40</v>
      </c>
      <c r="R110" s="184" t="s">
        <v>40</v>
      </c>
      <c r="S110" s="151" t="s">
        <v>40</v>
      </c>
      <c r="T110" s="184" t="s">
        <v>40</v>
      </c>
      <c r="U110" s="184" t="s">
        <v>40</v>
      </c>
      <c r="V110" s="107" t="s">
        <v>40</v>
      </c>
      <c r="W110" s="111" t="s">
        <v>40</v>
      </c>
      <c r="X110" s="111" t="s">
        <v>135</v>
      </c>
    </row>
    <row r="111" s="162" customFormat="1" ht="25" customHeight="1" spans="1:24">
      <c r="A111" s="236"/>
      <c r="B111" s="236"/>
      <c r="C111" s="236"/>
      <c r="D111" s="236"/>
      <c r="E111" s="236"/>
      <c r="F111" s="236"/>
      <c r="G111" s="236"/>
      <c r="H111" s="236"/>
      <c r="I111" s="237"/>
      <c r="J111" s="238" t="s">
        <v>1045</v>
      </c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9"/>
      <c r="X111" s="239"/>
    </row>
    <row r="112" s="3" customFormat="1" ht="50" customHeight="1" spans="1:24">
      <c r="A112" s="180">
        <v>95</v>
      </c>
      <c r="B112" s="220"/>
      <c r="C112" s="189" t="str">
        <f>_xlfn.DISPIMG("ID_35BFC68506EF43D0A564EDF289FF4152",1)</f>
        <v>=DISPIMG("ID_35BFC68506EF43D0A564EDF289FF4152",1)</v>
      </c>
      <c r="D112" s="66" t="s">
        <v>1046</v>
      </c>
      <c r="E112" s="181" t="s">
        <v>1047</v>
      </c>
      <c r="F112" s="111">
        <v>76006290733</v>
      </c>
      <c r="G112" s="182" t="s">
        <v>1048</v>
      </c>
      <c r="H112" s="111" t="s">
        <v>1049</v>
      </c>
      <c r="I112" s="107" t="s">
        <v>1050</v>
      </c>
      <c r="J112" s="292" t="s">
        <v>1051</v>
      </c>
      <c r="K112" s="183">
        <v>62.7</v>
      </c>
      <c r="L112" s="183">
        <v>222.5</v>
      </c>
      <c r="M112" s="183">
        <v>4.5</v>
      </c>
      <c r="N112" s="151">
        <v>18000</v>
      </c>
      <c r="O112" s="151">
        <v>20000</v>
      </c>
      <c r="P112" s="151">
        <v>22000</v>
      </c>
      <c r="Q112" s="151" t="s">
        <v>40</v>
      </c>
      <c r="R112" s="184" t="s">
        <v>174</v>
      </c>
      <c r="S112" s="151" t="s">
        <v>40</v>
      </c>
      <c r="T112" s="184" t="s">
        <v>1052</v>
      </c>
      <c r="U112" s="184" t="s">
        <v>1053</v>
      </c>
      <c r="V112" s="107" t="s">
        <v>1054</v>
      </c>
      <c r="W112" s="111" t="s">
        <v>40</v>
      </c>
      <c r="X112" s="111" t="s">
        <v>1055</v>
      </c>
    </row>
    <row r="113" s="162" customFormat="1" ht="25" customHeight="1" spans="1:24">
      <c r="A113" s="240"/>
      <c r="B113" s="240"/>
      <c r="C113" s="240"/>
      <c r="D113" s="240"/>
      <c r="E113" s="240"/>
      <c r="F113" s="240"/>
      <c r="G113" s="240"/>
      <c r="H113" s="240"/>
      <c r="I113" s="241"/>
      <c r="J113" s="242" t="s">
        <v>1056</v>
      </c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3"/>
      <c r="X113" s="243"/>
    </row>
    <row r="114" s="3" customFormat="1" ht="50" customHeight="1" spans="1:24">
      <c r="A114" s="180">
        <v>96</v>
      </c>
      <c r="B114" s="220"/>
      <c r="C114" s="189" t="str">
        <f>_xlfn.DISPIMG("ID_AB48B69CFF0E4D1489CF29B96309937F",1)</f>
        <v>=DISPIMG("ID_AB48B69CFF0E4D1489CF29B96309937F",1)</v>
      </c>
      <c r="D114" s="66" t="s">
        <v>1057</v>
      </c>
      <c r="E114" s="181" t="s">
        <v>1058</v>
      </c>
      <c r="F114" s="111" t="s">
        <v>1059</v>
      </c>
      <c r="G114" s="182" t="s">
        <v>1060</v>
      </c>
      <c r="H114" s="111" t="s">
        <v>1061</v>
      </c>
      <c r="I114" s="107" t="s">
        <v>1062</v>
      </c>
      <c r="J114" s="107" t="s">
        <v>1063</v>
      </c>
      <c r="K114" s="183">
        <v>302.5</v>
      </c>
      <c r="L114" s="183">
        <v>128.6</v>
      </c>
      <c r="M114" s="183">
        <v>4.5</v>
      </c>
      <c r="N114" s="151">
        <v>42000</v>
      </c>
      <c r="O114" s="151">
        <v>48000</v>
      </c>
      <c r="P114" s="151">
        <v>58000</v>
      </c>
      <c r="Q114" s="151">
        <v>65000</v>
      </c>
      <c r="R114" s="184" t="s">
        <v>186</v>
      </c>
      <c r="S114" s="151">
        <v>48000</v>
      </c>
      <c r="T114" s="184" t="s">
        <v>1064</v>
      </c>
      <c r="U114" s="184" t="s">
        <v>1065</v>
      </c>
      <c r="V114" s="107" t="s">
        <v>1066</v>
      </c>
      <c r="W114" s="111" t="s">
        <v>1067</v>
      </c>
      <c r="X114" s="111" t="s">
        <v>45</v>
      </c>
    </row>
    <row r="115" s="1" customFormat="1" ht="50" customHeight="1" spans="1:24">
      <c r="A115" s="190">
        <v>97</v>
      </c>
      <c r="B115" s="244"/>
      <c r="C115" s="22" t="str">
        <f>_xlfn.DISPIMG("ID_CACEF98067B14CC18678F828EB22CA1B",1)</f>
        <v>=DISPIMG("ID_CACEF98067B14CC18678F828EB22CA1B",1)</v>
      </c>
      <c r="D115" s="23" t="s">
        <v>1068</v>
      </c>
      <c r="E115" s="201" t="s">
        <v>1069</v>
      </c>
      <c r="F115" s="13" t="s">
        <v>1070</v>
      </c>
      <c r="G115" s="13" t="s">
        <v>1071</v>
      </c>
      <c r="H115" s="13" t="s">
        <v>1072</v>
      </c>
      <c r="I115" s="16" t="s">
        <v>1073</v>
      </c>
      <c r="J115" s="294" t="s">
        <v>1074</v>
      </c>
      <c r="K115" s="27">
        <v>113.7</v>
      </c>
      <c r="L115" s="27">
        <v>27.5</v>
      </c>
      <c r="M115" s="27">
        <v>0.9</v>
      </c>
      <c r="N115" s="25">
        <v>8000</v>
      </c>
      <c r="O115" s="25">
        <v>10000</v>
      </c>
      <c r="P115" s="25">
        <v>13000</v>
      </c>
      <c r="Q115" s="25" t="s">
        <v>40</v>
      </c>
      <c r="R115" s="25" t="s">
        <v>537</v>
      </c>
      <c r="S115" s="25" t="s">
        <v>40</v>
      </c>
      <c r="T115" s="25" t="s">
        <v>1075</v>
      </c>
      <c r="U115" s="25" t="s">
        <v>1076</v>
      </c>
      <c r="V115" s="16" t="s">
        <v>1077</v>
      </c>
      <c r="W115" s="13" t="s">
        <v>1078</v>
      </c>
      <c r="X115" s="13" t="s">
        <v>45</v>
      </c>
    </row>
    <row r="116" s="3" customFormat="1" ht="50" customHeight="1" spans="1:24">
      <c r="A116" s="180">
        <v>98</v>
      </c>
      <c r="B116" s="220"/>
      <c r="C116" s="189" t="str">
        <f>_xlfn.DISPIMG("ID_D8999301ECE74ADC88F016B6B888ED40",1)</f>
        <v>=DISPIMG("ID_D8999301ECE74ADC88F016B6B888ED40",1)</v>
      </c>
      <c r="D116" s="66" t="s">
        <v>1079</v>
      </c>
      <c r="E116" s="181" t="s">
        <v>1080</v>
      </c>
      <c r="F116" s="111" t="s">
        <v>1081</v>
      </c>
      <c r="G116" s="182" t="s">
        <v>1071</v>
      </c>
      <c r="H116" s="111" t="s">
        <v>1082</v>
      </c>
      <c r="I116" s="107" t="s">
        <v>1083</v>
      </c>
      <c r="J116" s="107" t="s">
        <v>1084</v>
      </c>
      <c r="K116" s="183">
        <v>204.9</v>
      </c>
      <c r="L116" s="183">
        <v>79.6</v>
      </c>
      <c r="M116" s="183">
        <v>1.5</v>
      </c>
      <c r="N116" s="151">
        <v>15000</v>
      </c>
      <c r="O116" s="151">
        <v>20000</v>
      </c>
      <c r="P116" s="151">
        <v>26000</v>
      </c>
      <c r="Q116" s="151">
        <v>36000</v>
      </c>
      <c r="R116" s="184" t="s">
        <v>144</v>
      </c>
      <c r="S116" s="151" t="s">
        <v>40</v>
      </c>
      <c r="T116" s="184" t="s">
        <v>1085</v>
      </c>
      <c r="U116" s="184" t="s">
        <v>1086</v>
      </c>
      <c r="V116" s="107" t="s">
        <v>1087</v>
      </c>
      <c r="W116" s="111" t="s">
        <v>1088</v>
      </c>
      <c r="X116" s="111" t="s">
        <v>1089</v>
      </c>
    </row>
    <row r="117" s="3" customFormat="1" ht="50" customHeight="1" spans="1:24">
      <c r="A117" s="190">
        <v>99</v>
      </c>
      <c r="B117" s="244"/>
      <c r="C117" s="200" t="str">
        <f>_xlfn.DISPIMG("ID_BFD3B791873840F7A6BD274172DDF735",1)</f>
        <v>=DISPIMG("ID_BFD3B791873840F7A6BD274172DDF735",1)</v>
      </c>
      <c r="D117" s="23" t="s">
        <v>1090</v>
      </c>
      <c r="E117" s="178" t="s">
        <v>1091</v>
      </c>
      <c r="F117" s="64" t="s">
        <v>1092</v>
      </c>
      <c r="G117" s="64" t="s">
        <v>1093</v>
      </c>
      <c r="H117" s="64" t="s">
        <v>1094</v>
      </c>
      <c r="I117" s="114" t="s">
        <v>1095</v>
      </c>
      <c r="J117" s="114" t="s">
        <v>1096</v>
      </c>
      <c r="K117" s="152">
        <v>130.5</v>
      </c>
      <c r="L117" s="152">
        <v>68.2</v>
      </c>
      <c r="M117" s="152">
        <v>5.4</v>
      </c>
      <c r="N117" s="179">
        <v>10000</v>
      </c>
      <c r="O117" s="179">
        <v>15000</v>
      </c>
      <c r="P117" s="179">
        <v>25000</v>
      </c>
      <c r="Q117" s="179">
        <v>35000</v>
      </c>
      <c r="R117" s="25" t="s">
        <v>186</v>
      </c>
      <c r="S117" s="179" t="s">
        <v>40</v>
      </c>
      <c r="T117" s="179" t="s">
        <v>1097</v>
      </c>
      <c r="U117" s="179" t="s">
        <v>1098</v>
      </c>
      <c r="V117" s="114" t="s">
        <v>1099</v>
      </c>
      <c r="W117" s="64" t="s">
        <v>1100</v>
      </c>
      <c r="X117" s="64" t="s">
        <v>45</v>
      </c>
    </row>
    <row r="118" s="3" customFormat="1" ht="50" customHeight="1" spans="1:24">
      <c r="A118" s="180">
        <v>100</v>
      </c>
      <c r="B118" s="220"/>
      <c r="C118" s="66" t="str">
        <f>_xlfn.DISPIMG("ID_AF6E410C2CC14F758A8CC5E1322C25C2",1)</f>
        <v>=DISPIMG("ID_AF6E410C2CC14F758A8CC5E1322C25C2",1)</v>
      </c>
      <c r="D118" s="66" t="s">
        <v>1101</v>
      </c>
      <c r="E118" s="181" t="s">
        <v>1102</v>
      </c>
      <c r="F118" s="111" t="s">
        <v>1103</v>
      </c>
      <c r="G118" s="182" t="s">
        <v>1071</v>
      </c>
      <c r="H118" s="111" t="s">
        <v>1104</v>
      </c>
      <c r="I118" s="107" t="s">
        <v>1105</v>
      </c>
      <c r="J118" s="107" t="s">
        <v>1106</v>
      </c>
      <c r="K118" s="183">
        <v>217.1</v>
      </c>
      <c r="L118" s="183">
        <v>50.7</v>
      </c>
      <c r="M118" s="183">
        <v>1.9</v>
      </c>
      <c r="N118" s="151">
        <v>20000</v>
      </c>
      <c r="O118" s="151">
        <v>28000</v>
      </c>
      <c r="P118" s="151">
        <v>32000</v>
      </c>
      <c r="Q118" s="151">
        <v>42000</v>
      </c>
      <c r="R118" s="184" t="s">
        <v>186</v>
      </c>
      <c r="S118" s="151" t="s">
        <v>40</v>
      </c>
      <c r="T118" s="184" t="s">
        <v>1107</v>
      </c>
      <c r="U118" s="184" t="s">
        <v>1108</v>
      </c>
      <c r="V118" s="107" t="s">
        <v>1109</v>
      </c>
      <c r="W118" s="111" t="s">
        <v>1110</v>
      </c>
      <c r="X118" s="111" t="s">
        <v>45</v>
      </c>
    </row>
    <row r="119" s="3" customFormat="1" ht="50" customHeight="1" spans="1:24">
      <c r="A119" s="175">
        <v>101</v>
      </c>
      <c r="B119" s="226"/>
      <c r="C119" s="61" t="str">
        <f>_xlfn.DISPIMG("ID_6B6583973CE844BDB3AB41AFA4B1C82E",1)</f>
        <v>=DISPIMG("ID_6B6583973CE844BDB3AB41AFA4B1C82E",1)</v>
      </c>
      <c r="D119" s="61" t="s">
        <v>1111</v>
      </c>
      <c r="E119" s="178" t="s">
        <v>1112</v>
      </c>
      <c r="F119" s="64">
        <v>32909938645</v>
      </c>
      <c r="G119" s="64" t="s">
        <v>1093</v>
      </c>
      <c r="H119" s="64" t="s">
        <v>1113</v>
      </c>
      <c r="I119" s="114" t="s">
        <v>1114</v>
      </c>
      <c r="J119" s="114" t="s">
        <v>1115</v>
      </c>
      <c r="K119" s="152">
        <v>111.2</v>
      </c>
      <c r="L119" s="152">
        <v>274.8</v>
      </c>
      <c r="M119" s="152">
        <v>9.6</v>
      </c>
      <c r="N119" s="179">
        <v>12000</v>
      </c>
      <c r="O119" s="179">
        <v>18000</v>
      </c>
      <c r="P119" s="179">
        <v>26000</v>
      </c>
      <c r="Q119" s="179">
        <v>36000</v>
      </c>
      <c r="R119" s="179" t="s">
        <v>186</v>
      </c>
      <c r="S119" s="179" t="s">
        <v>40</v>
      </c>
      <c r="T119" s="179" t="s">
        <v>1116</v>
      </c>
      <c r="U119" s="179" t="s">
        <v>1117</v>
      </c>
      <c r="V119" s="114" t="s">
        <v>1118</v>
      </c>
      <c r="W119" s="64" t="s">
        <v>1119</v>
      </c>
      <c r="X119" s="64" t="s">
        <v>45</v>
      </c>
    </row>
    <row r="120" s="3" customFormat="1" ht="50" customHeight="1" spans="1:24">
      <c r="A120" s="180">
        <v>102</v>
      </c>
      <c r="B120" s="220"/>
      <c r="C120" s="189" t="str">
        <f>_xlfn.DISPIMG("ID_1E3496E9C6C14248A4AB0CED55EB7B22",1)</f>
        <v>=DISPIMG("ID_1E3496E9C6C14248A4AB0CED55EB7B22",1)</v>
      </c>
      <c r="D120" s="66" t="s">
        <v>1120</v>
      </c>
      <c r="E120" s="181" t="s">
        <v>1121</v>
      </c>
      <c r="F120" s="111" t="s">
        <v>1122</v>
      </c>
      <c r="G120" s="182" t="s">
        <v>1093</v>
      </c>
      <c r="H120" s="111" t="s">
        <v>1123</v>
      </c>
      <c r="I120" s="107" t="s">
        <v>1124</v>
      </c>
      <c r="J120" s="107" t="s">
        <v>1125</v>
      </c>
      <c r="K120" s="183">
        <v>30.4</v>
      </c>
      <c r="L120" s="183">
        <v>95.4</v>
      </c>
      <c r="M120" s="183">
        <v>2.9</v>
      </c>
      <c r="N120" s="151">
        <v>6000</v>
      </c>
      <c r="O120" s="151">
        <v>8000</v>
      </c>
      <c r="P120" s="151">
        <v>9500</v>
      </c>
      <c r="Q120" s="151">
        <v>19500</v>
      </c>
      <c r="R120" s="184" t="s">
        <v>186</v>
      </c>
      <c r="S120" s="151" t="s">
        <v>40</v>
      </c>
      <c r="T120" s="184" t="s">
        <v>1126</v>
      </c>
      <c r="U120" s="184" t="s">
        <v>1127</v>
      </c>
      <c r="V120" s="107" t="s">
        <v>1128</v>
      </c>
      <c r="W120" s="111" t="s">
        <v>1129</v>
      </c>
      <c r="X120" s="111" t="s">
        <v>45</v>
      </c>
    </row>
    <row r="121" s="3" customFormat="1" ht="50" customHeight="1" spans="1:24">
      <c r="A121" s="175">
        <v>103</v>
      </c>
      <c r="B121" s="226"/>
      <c r="C121" s="177" t="str">
        <f>_xlfn.DISPIMG("ID_1DD451BE884443BD89AF331DE5850639",1)</f>
        <v>=DISPIMG("ID_1DD451BE884443BD89AF331DE5850639",1)</v>
      </c>
      <c r="D121" s="61" t="s">
        <v>1130</v>
      </c>
      <c r="E121" s="178" t="s">
        <v>1131</v>
      </c>
      <c r="F121" s="64" t="s">
        <v>1132</v>
      </c>
      <c r="G121" s="64" t="s">
        <v>1093</v>
      </c>
      <c r="H121" s="64" t="s">
        <v>1133</v>
      </c>
      <c r="I121" s="114" t="s">
        <v>1134</v>
      </c>
      <c r="J121" s="114" t="s">
        <v>1135</v>
      </c>
      <c r="K121" s="152">
        <v>229</v>
      </c>
      <c r="L121" s="152">
        <v>32.9</v>
      </c>
      <c r="M121" s="152">
        <v>0.9</v>
      </c>
      <c r="N121" s="179">
        <v>20000</v>
      </c>
      <c r="O121" s="179">
        <v>28000</v>
      </c>
      <c r="P121" s="179">
        <v>38000</v>
      </c>
      <c r="Q121" s="179">
        <v>48000</v>
      </c>
      <c r="R121" s="179" t="s">
        <v>186</v>
      </c>
      <c r="S121" s="179" t="s">
        <v>40</v>
      </c>
      <c r="T121" s="179" t="s">
        <v>1136</v>
      </c>
      <c r="U121" s="179" t="s">
        <v>1137</v>
      </c>
      <c r="V121" s="114" t="s">
        <v>1138</v>
      </c>
      <c r="W121" s="64" t="s">
        <v>1139</v>
      </c>
      <c r="X121" s="64" t="s">
        <v>45</v>
      </c>
    </row>
    <row r="122" s="1" customFormat="1" ht="50" customHeight="1" spans="1:24">
      <c r="A122" s="245">
        <v>104</v>
      </c>
      <c r="B122" s="246"/>
      <c r="C122" s="247" t="str">
        <f>_xlfn.DISPIMG("ID_AE0FADB7180045B4A3DFEFA8B30AE612",1)</f>
        <v>=DISPIMG("ID_AE0FADB7180045B4A3DFEFA8B30AE612",1)</v>
      </c>
      <c r="D122" s="71" t="s">
        <v>1140</v>
      </c>
      <c r="E122" s="248" t="s">
        <v>1141</v>
      </c>
      <c r="F122" s="145">
        <v>4538698</v>
      </c>
      <c r="G122" s="145" t="s">
        <v>1142</v>
      </c>
      <c r="H122" s="145" t="s">
        <v>1143</v>
      </c>
      <c r="I122" s="142" t="s">
        <v>1144</v>
      </c>
      <c r="J122" s="142" t="s">
        <v>1145</v>
      </c>
      <c r="K122" s="249">
        <v>350.5</v>
      </c>
      <c r="L122" s="249">
        <v>96.9</v>
      </c>
      <c r="M122" s="249">
        <v>4.1</v>
      </c>
      <c r="N122" s="250">
        <v>40000</v>
      </c>
      <c r="O122" s="250">
        <v>55000</v>
      </c>
      <c r="P122" s="250">
        <v>65000</v>
      </c>
      <c r="Q122" s="250">
        <v>75000</v>
      </c>
      <c r="R122" s="250" t="s">
        <v>186</v>
      </c>
      <c r="S122" s="250">
        <v>55000</v>
      </c>
      <c r="T122" s="250" t="s">
        <v>1146</v>
      </c>
      <c r="U122" s="250" t="s">
        <v>1147</v>
      </c>
      <c r="V122" s="250" t="s">
        <v>1148</v>
      </c>
      <c r="W122" s="145" t="s">
        <v>1149</v>
      </c>
      <c r="X122" s="145" t="s">
        <v>45</v>
      </c>
    </row>
  </sheetData>
  <autoFilter xmlns:etc="http://www.wps.cn/officeDocument/2017/etCustomData" ref="A2:AC122" etc:filterBottomFollowUsedRange="0">
    <extLst/>
  </autoFilter>
  <mergeCells count="3">
    <mergeCell ref="A1:X1"/>
    <mergeCell ref="N4:P4"/>
    <mergeCell ref="N5:P5"/>
  </mergeCells>
  <hyperlinks>
    <hyperlink ref="H122" r:id="rId2" display="https://v.douyin.com/ee1Ud3N/" tooltip="https://v.douyin.com/ee1Ud3N/"/>
    <hyperlink ref="H27" r:id="rId3" display="https://v.douyin.com/EngtHX/"/>
    <hyperlink ref="H95" r:id="rId4" display="https://v.douyin.com/JGoHUQ1/"/>
    <hyperlink ref="H41" r:id="rId5" display="https://v.douyin.com/En7hpe/"/>
    <hyperlink ref="H28" r:id="rId6" display="https://v.douyin.com/JCK38Tm/"/>
    <hyperlink ref="H33" r:id="rId7" display="https://v.douyin.com/eCcKy1K/"/>
    <hyperlink ref="H66" r:id="rId8" display="https://v.douyin.com/8bbdWJN/"/>
    <hyperlink ref="H109" r:id="rId9" display="https://v.douyin.com/N9wSKAr/" tooltip="https://v.douyin.com/N9wSKAr/"/>
    <hyperlink ref="H114" r:id="rId10" display="https://v.douyin.com/qAah9R/"/>
    <hyperlink ref="H90" r:id="rId11" display="https://v.douyin.com/evchkkA/"/>
    <hyperlink ref="H105" r:id="rId12" display="https://v.douyin.com/En7thx/"/>
    <hyperlink ref="H42" r:id="rId13" display="https://v.douyin.com/RLPXyXk/"/>
    <hyperlink ref="H64" r:id="rId14" display="https://v.douyin.com/YSFB7Vh/"/>
    <hyperlink ref="H58" r:id="rId15" display="https://v.douyin.com/jw6LBUB/"/>
    <hyperlink ref="H56" r:id="rId16" display="https://v.douyin.com/rNwDm9W/"/>
    <hyperlink ref="H121" r:id="rId17" display="https://v.douyin.com/rVAPr2p/"/>
    <hyperlink ref="H68" r:id="rId18" display="https://v.douyin.com/hQeDxNC/"/>
    <hyperlink ref="H21" r:id="rId19" display="https://v.douyin.com/N7vAXXo/"/>
    <hyperlink ref="H22" r:id="rId20" display="https://v.douyin.com/YFDupKa/"/>
    <hyperlink ref="H63" r:id="rId21" display="https://v.douyin.com/BNvsvjV/"/>
    <hyperlink ref="H35" r:id="rId22" display="https://v.douyin.com/BcRnESq/"/>
    <hyperlink ref="H69" r:id="rId23" display="https://v.douyin.com/SyqNhh3/"/>
    <hyperlink ref="H96" r:id="rId24" display="https://v.douyin.com/AvYkCxx/"/>
    <hyperlink ref="H100" r:id="rId25" display="https://v.douyin.com/AEx3WQG/"/>
    <hyperlink ref="H30" r:id="rId26" display="https://v.douyin.com/jcNeW61/" tooltip="https://v.douyin.com/jcNeW61/"/>
    <hyperlink ref="H70" r:id="rId27" display="https://v.douyin.com/U7hrxCa/"/>
    <hyperlink ref="H71" r:id="rId28" display="https://v.douyin.com/iJCV86d/"/>
    <hyperlink ref="H4" r:id="rId29" display="https://v.douyin.com/N59HuqG/"/>
    <hyperlink ref="H107" r:id="rId30" display="https://v.douyin.com/ieJEk27r/"/>
    <hyperlink ref="H67" r:id="rId31" display="https://v.douyin.com/idVsSMmU/"/>
    <hyperlink ref="H25" r:id="rId32" display="https://v.douyin.com/iRjb6jSc/"/>
    <hyperlink ref="H98" r:id="rId33" display="https://v.douyin.com/iLb8hLmv/"/>
    <hyperlink ref="H37" r:id="rId34" display="https://v.douyin.com/iLnrNjSN/"/>
    <hyperlink ref="H48" r:id="rId35" display="https://v.douyin.com/eC3yEYf/"/>
    <hyperlink ref="H49" r:id="rId36" display="https://v.douyin.com/8Y1YhAe/"/>
    <hyperlink ref="H29" r:id="rId37" display="https://v.douyin.com/FSgqeNj/"/>
    <hyperlink ref="H34" r:id="rId38" display="https://v.douyin.com/ijAbtYL4/"/>
    <hyperlink ref="H92" r:id="rId39" display="https://v.douyin.com/ijjdY42F/"/>
    <hyperlink ref="H118" r:id="rId40" display="https://v.douyin.com/iY85x94D/"/>
    <hyperlink ref="H119" r:id="rId41" display="https://v.douyin.com/i2H5qaFs/"/>
    <hyperlink ref="H75" r:id="rId42" display="https://v.douyin.com/i6jrprmo/ 5@2.com" tooltip="https://v.douyin.com/i6jrprmo/ 5@2.com"/>
    <hyperlink ref="H59" r:id="rId43" display="https://v.douyin.com/ik1j1xge/ 9@3.com"/>
    <hyperlink ref="H99" r:id="rId44" display="https://v.douyin.com/ihY3Bnto/ 3@1.com"/>
    <hyperlink ref="H106" r:id="rId45" display="https://v.douyin.com/ihLfY4my/ 1@8.com"/>
    <hyperlink ref="H50" r:id="rId46" display="https://v.douyin.com/ikHJhdsd/ 5@0.com"/>
    <hyperlink ref="H53" r:id="rId47" display="https://v.douyin.com/iBXmyyq9/ 3@3.com"/>
    <hyperlink ref="H116" r:id="rId48" display="https://v.douyin.com/24q2eQN/"/>
    <hyperlink ref="H74" r:id="rId49" display="https://v.douyin.com/iDDaWpJE/ 8@1.com :1pm" tooltip="https://v.douyin.com/iDDaWpJE/ 8@1.com :1pm"/>
    <hyperlink ref="H60" r:id="rId50" display="https://v.douyin.com/iDDUXSLj/ 9@1.com :2pm"/>
    <hyperlink ref="H117" r:id="rId51" display="https://v.douyin.com/iUU8cHHq/"/>
    <hyperlink ref="H91" r:id="rId52" display="https://v.douyin.com/FSHKXaa/"/>
    <hyperlink ref="H20" r:id="rId53" display="https://v.douyin.com/RNPgvkV/" tooltip="https://v.douyin.com/RNPgvkV/"/>
    <hyperlink ref="H120" r:id="rId54" display="https://v.douyin.com/iYBa8VBc/"/>
    <hyperlink ref="H8" r:id="rId55" display="https://v.douyin.com/iy5xpGEA/"/>
    <hyperlink ref="H101" r:id="rId56" display="https://v.douyin.com/iDDrdfwC/ 9@0.com"/>
    <hyperlink ref="H19" r:id="rId57" display="https://v.douyin.com/dHJh1Q1/"/>
    <hyperlink ref="H18" r:id="rId58" display="https://v.douyin.com/rXkgpu2/"/>
    <hyperlink ref="H57" r:id="rId59" display="https://v.douyin.com/D2Syf86/"/>
    <hyperlink ref="H76" r:id="rId60" display="https://v.douyin.com/l48-W0BWH2c/" tooltip="https://v.douyin.com/l48-W0BWH2c/"/>
    <hyperlink ref="H13" r:id="rId61" display="https://v.douyin.com/_lMUnKhZ_vE/"/>
    <hyperlink ref="H86" r:id="rId62" display="https://v.douyin.com/i5boShFY/"/>
    <hyperlink ref="H88" r:id="rId63" display="https://v.douyin.com/iSSP2279/ 2@2.com"/>
    <hyperlink ref="H82" r:id="rId64" display="https://v.douyin.com/ieJE8VSW/"/>
    <hyperlink ref="H80" r:id="rId65" display="https://v.douyin.com/iJPnXVxk/"/>
    <hyperlink ref="H78" r:id="rId66" display="https://v.douyin.com/iJPnedXN/"/>
    <hyperlink ref="H79" r:id="rId67" display="https://v.douyin.com/iLnMvpHr/"/>
    <hyperlink ref="I116" r:id="rId68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4" r:id="rId69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" r:id="rId70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27" r:id="rId71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8" r:id="rId72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9" r:id="rId73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0" r:id="rId74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3" r:id="rId75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4" r:id="rId76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9" r:id="rId77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5" r:id="rId78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1" r:id="rId79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2" r:id="rId80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8" r:id="rId81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9" r:id="rId82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0" r:id="rId83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3" r:id="rId84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6" r:id="rId85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86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8" r:id="rId87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9" r:id="rId88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60" r:id="rId89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3" r:id="rId90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4" r:id="rId91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0" r:id="rId92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6" r:id="rId93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94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8" r:id="rId95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96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5" r:id="rId97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0" r:id="rId98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1" r:id="rId99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4" r:id="rId100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5" r:id="rId101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7" r:id="rId102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6" r:id="rId103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0" r:id="rId104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8" r:id="rId105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9" r:id="rId106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0" r:id="rId107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2" r:id="rId108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6" r:id="rId109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10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1" r:id="rId111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2" r:id="rId112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5" r:id="rId113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6" r:id="rId114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15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116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8" r:id="rId117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0" r:id="rId118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119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20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1" r:id="rId121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2" r:id="rId122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5" r:id="rId123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6" r:id="rId124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7" r:id="rId125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8" r:id="rId126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4" r:id="rId127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7" r:id="rId128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8" r:id="rId129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9" r:id="rId130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0" r:id="rId131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1" r:id="rId132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2" r:id="rId133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51" r:id="rId134" display="https://v.douyin.com/NfM4H3xVgqI/ 0@0.com"/>
    <hyperlink ref="I51" r:id="rId135" display="https://www.xingtu.cn/ad/creator/author-homepage/douyin-video/6870160334506688526?market_track_id=ALUPYOHU2Q7WIQNY7CS6&amp;search_session_id=7529771916695224339&amp;possessStarId"/>
    <hyperlink ref="I12" r:id="rId136" display="https://www.xingtu.cn/ad/creator/author-homepage/douyin-video/7212165981076979770?market_track_id=C1YWJOJOH7GWYM2BJIBX&amp;search_session_id=7532374389598191658&amp;possessStarId"/>
    <hyperlink ref="H12" r:id="rId137" display="https://v.douyin.com/Y_T6k4YZ1jA/"/>
    <hyperlink ref="H84" r:id="rId138" display="https://v.douyin.com/9AFkA0NTkFQ/"/>
    <hyperlink ref="I84" r:id="rId139" display="https://www.xingtu.cn/ad/creator/author-homepage/douyin-video/6629722298792280068?market_track_id=ALE4EJ3WE9UOCFVX4NC4&amp;search_session_id=7532380290833645604&amp;possessStarId"/>
    <hyperlink ref="H11" r:id="rId140" display="https://v.douyin.com/em3sFvS6LMA/"/>
    <hyperlink ref="I11" r:id="rId141" display="https://www.xingtu.cn/ad/creator/author-homepage/douyin-video/6870112225344880653?market_track_id=MR61YKQACBEHR44TKR7E&amp;search_session_id=7533159252346241078&amp;possessStarId"/>
    <hyperlink ref="H115" r:id="rId142" display="https://v.douyin.com/l9yMFgFF4Ic/"/>
    <hyperlink ref="I115" r:id="rId143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52" r:id="rId144" display="https://v.douyin.com/YVnZ2nB_6tQ/ 9@0.com"/>
    <hyperlink ref="I52" r:id="rId145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73" r:id="rId146" display="https://v.douyin.com/eNCSeHH/"/>
    <hyperlink ref="I73" r:id="rId147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24" r:id="rId148" display="https://v.douyin.com/eXcXMuA/"/>
    <hyperlink ref="H23" r:id="rId149" display="https://v.douyin.com/FmolR1KJook/"/>
    <hyperlink ref="I23" r:id="rId150" display="https://www.xingtu.cn/ad/creator/author-homepage/douyin-video/6859218264526962702?market_track_id=ESWOJZ4LL2IDD4QEYDFT&amp;search_session_id=7550213757390864438&amp;possessStarId"/>
    <hyperlink ref="I24" r:id="rId151" display="https://www.xingtu.cn/ad/creator/author-homepage/douyin-video/6977280720922214431?market_track_id=UG67XTJXH7NXPKDVOMTP&amp;search_session_id=7550213941088239658&amp;possessStarId"/>
    <hyperlink ref="I72" r:id="rId152" display="https://www.xingtu.cn/ad/creator/author-homepage/douyin-video/6950547741772611621?market_track_id=TNBIOM0X2B5CFEY1M52H&amp;search_session_id=7555809283087810599&amp;possessStarId"/>
    <hyperlink ref="H72" r:id="rId153" display="https://v.douyin.com/EYsYmOl35_o/"/>
    <hyperlink ref="H104" r:id="rId154" display="https://v.douyin.com/YPNJaozIgqY/"/>
    <hyperlink ref="I104" r:id="rId155" display="https://www.xingtu.cn/ad/creator/author-homepage/douyin-video/7530268826995261481?market_track_id=AFYCHK8E6RNNZI1D3OYX&amp;search_session_id=7560902726126403620&amp;possessStarId"/>
    <hyperlink ref="H16" r:id="rId156" display="https://v.douyin.com/NYLfLoo/"/>
    <hyperlink ref="I16" r:id="rId157" display="https://www.xingtu.cn/ad/creator/author-homepage/douyin-video/6800827006318542862?market_track_id=WGDIPUY8NR4CR015XCAO&amp;search_session_id=7550217227611275305&amp;possessStarId"/>
    <hyperlink ref="H55" r:id="rId158" display="https://v.douyin.com/91XqThN95LU/"/>
    <hyperlink ref="I55" r:id="rId159" display="https://www.xingtu.cn/ad/creator/author-homepage/douyin-video/6596679736393465860?market_track_id=APBR2FCN2QFQPX0QSDB3&amp;search_session_id=7565742280636989503&amp;possessStarId"/>
    <hyperlink ref="H89" r:id="rId160" display="https://v.douyin.com/X59bTLxsw30/"/>
    <hyperlink ref="I89" r:id="rId161" display="https://www.xingtu.cn/ad/creator/author-homepage/douyin-video/7407743938431287347?market_track_id=6VJJY5F6E3FS3YS952O9&amp;search_session_id=7566145823580274730&amp;possessStarId"/>
    <hyperlink ref="H87" r:id="rId162" display="https://v.douyin.com/bHqAlsCKcIw/"/>
    <hyperlink ref="I87" r:id="rId163" display="https://www.xingtu.cn/ad/creator/author-homepage/douyin-video/7548699303942832174?market_track_id=A1GVOKQQEDPMPOB3NZJQ&amp;search_session_id=7567378003446431795&amp;possessStarId"/>
    <hyperlink ref="H32" r:id="rId164" display="https://v.douyin.com/-b2XUM3O2qk/"/>
    <hyperlink ref="I32" r:id="rId165" display="https://www.xingtu.cn/ad/creator/author-homepage/douyin-video/6881097634480652296?market_track_id=VTJM4Z9RTPETU9VQST4G&amp;search_session_id=7569060253904846889&amp;possessStarId"/>
    <hyperlink ref="H5" r:id="rId166" display="https://v.douyin.com/P9i7l467NEs/"/>
    <hyperlink ref="I5" r:id="rId167" display="https://www.xingtu.cn/ad/creator/author-homepage/douyin-video/7568817054545412146?market_track_id=98IZH98452SRN4JC5R92&amp;search_session_id=7569069326943715391&amp;possessStarId"/>
    <hyperlink ref="H83" r:id="rId168" display="https://v.douyin.com/YnUjViz55N4/"/>
    <hyperlink ref="I83" r:id="rId169" display="https://www.xingtu.cn/ad/creator/author-homepage/douyin-video/6716888711335772164?market_track_id=IFYOO8BHE9JNSSK8UBE6&amp;search_session_id=7571704554984472619&amp;possessStarId"/>
    <hyperlink ref="H44" r:id="rId170" display="https://v.douyin.com/Fo6zCYRvpPA/"/>
    <hyperlink ref="I44" r:id="rId171" display="https://www.xingtu.cn/ad/creator/author-homepage/douyin-video/7381766949996331017?market_track_id=NEDQY0AMQQDYQN41G8CM&amp;search_session_id=7572463486438735878&amp;possessStarId"/>
    <hyperlink ref="H45" r:id="rId172" display="https://v.douyin.com/_FIjdu3XHpI/"/>
    <hyperlink ref="H46" r:id="rId173" display="https://v.douyin.com/0QUqPDyOiYI/"/>
    <hyperlink ref="I45" r:id="rId174" display="https://www.xingtu.cn/ad/creator/author-homepage/douyin-video/7515706747558821914?market_track_id=V0L18ORLB0HFDNBMGWSO&amp;search_session_id=7572463472073343017&amp;possessStarId"/>
    <hyperlink ref="I46" r:id="rId175" display="https://www.xingtu.cn/ad/creator/author-homepage/douyin-video/7547976599398318089?market_track_id=R5DZ8YSWRGDLDFHSKGHK&amp;search_session_id=7572463525462655039&amp;possessStarId"/>
    <hyperlink ref="H61" r:id="rId176" display="https://v.douyin.com/wY5EbAVpuV8/"/>
    <hyperlink ref="I61" r:id="rId177" display="https://www.xingtu.cn/ad/creator/author-homepage/douyin-video/7488315869542481958?market_track_id=GN4C1YMKB8J6X9QKJHNN&amp;search_session_id=7576565643592663094&amp;possessStarId"/>
    <hyperlink ref="H85" r:id="rId178" display="https://v.douyin.com/bwEB4nNFwkw/"/>
    <hyperlink ref="I85" r:id="rId179" display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/>
    <hyperlink ref="H112" r:id="rId180" display="https://v.douyin.com/Wd-9v46EwOo/"/>
    <hyperlink ref="I112" r:id="rId181" display="https://www.xingtu.cn/ad/creator/author-homepage/douyin-video/7437412455573094438?market_track_id=OZDXFB6LRY6IARAR1ZJR&amp;search_session_id=7577287979769987108&amp;possessStarId"/>
    <hyperlink ref="H38" r:id="rId182" display="https://v.douyin.com/BHaAiBM_k3w/"/>
    <hyperlink ref="I38" r:id="rId183" display="https://www.xingtu.cn/ad/creator/author-homepage/douyin-video/6819548254661771272?market_track_id=AH4RR3UMN9HSCR01P642&amp;search_session_id=7579518972032024582&amp;possessStarId"/>
    <hyperlink ref="H36" r:id="rId184" display="https://v.douyin.com/sW37YfqVKkg/"/>
    <hyperlink ref="I36" r:id="rId185" display="https://www.xingtu.cn/ad/creator/author-homepage/douyin-video/6963730998898982948?market_track_id=7AOT1L3NXCYERYL2WKII&amp;search_session_id=7579578253254754358&amp;possessStarId"/>
    <hyperlink ref="H93" r:id="rId186" display="https://v.douyin.com/UppQ41r130A/"/>
    <hyperlink ref="I93" r:id="rId187" display="https://www.xingtu.cn/ad/creator/author-homepage/douyin-video/7421456107962368035?market_track_id=K01Z0FZ5DRR53BHT7OPI&amp;search_session_id=7582861478090899475&amp;possessStarId"/>
    <hyperlink ref="H102" r:id="rId188" display="https://v.douyin.com/z7JKhSGLHj4/"/>
    <hyperlink ref="I102" r:id="rId189" display="https://www.xingtu.cn/ad/creator/author-homepage/douyin-video/7072935851847581734?market_track_id=LDXVS0SXIARWO5W865W2&amp;search_session_id=7583963797183758342&amp;possessStarId"/>
    <hyperlink ref="H47" r:id="rId190" display="https://v.douyin.com/UMaHdy_IyKw/"/>
    <hyperlink ref="I47" r:id="rId191" display="https://www.xingtu.cn/ad/creator/author-homepage/douyin-video/7220300260617224252?market_track_id=3KUHLSB48RKZ5QU7UJG1&amp;search_session_id=7585483192904761398&amp;possessStarId"/>
    <hyperlink ref="H7" r:id="rId192" display="https://v.douyin.com/9sgmrPxyfp8/"/>
    <hyperlink ref="I7" r:id="rId193" display="https://www.xingtu.cn/ad/creator/author-homepage/douyin-video/6845057970179407879?market_track_id=E4Y19KVH1MWTEGLI5F2L&amp;search_session_id=7586573267851608070&amp;possessStarId"/>
    <hyperlink ref="H9" r:id="rId194" display="https://v.douyin.com/ijRaTmKu/"/>
    <hyperlink ref="I9" r:id="rId195" display="https://www.xingtu.cn/ad/creator/author-homepage/douyin-video/7164610130468667422?market_track_id=UDUYNLMS4L8IX6O5Q35O&amp;search_session_id=7587244361512747027&amp;possessStarId"/>
    <hyperlink ref="H17" r:id="rId196" display="https://v.douyin.com/mQXUpIr3xO0/"/>
    <hyperlink ref="I17" r:id="rId197" display="https://www.xingtu.cn/ad/creator/author-homepage/douyin-video/7353512627252920346?market_track_id=F644SGRAKU4KVG6NFBUU&amp;search_session_id=7579571893079212038&amp;possessStarId" tooltip="https://www.xingtu.cn/ad/creator/author-homepage/douyin-video/7353512627252920346?market_track_id=F644SGRAKU4KVG6NFBUU&amp;search_session_id=7579571893079212038&amp;possessStarId"/>
    <hyperlink ref="H39" r:id="rId198" display="https://v.douyin.com/--EOPwGtm5E/"/>
    <hyperlink ref="H103" r:id="rId199" display="https://v.douyin.com/KeTRN28g1m0/"/>
    <hyperlink ref="I103" r:id="rId200" display="https://www.xingtu.cn/ad/creator/author-homepage/douyin-video/7326903080321024010?market_track_id=4ED161GP8MO20S4OQWX6&amp;search_session_id=7593255005709598774&amp;possessStarId"/>
    <hyperlink ref="H14" r:id="rId201" display="https://v.douyin.com/cCHj7dKTG10/" tooltip="https://v.douyin.com/cCHj7dKTG10/"/>
    <hyperlink ref="I14" r:id="rId202" display="https://www.xingtu.cn/ad/creator/author-homepage/douyin-video/6870166394432913422?market_track_id=7LU66Y0MMMAC8P83FUP9&amp;search_session_id=7597722017286488118&amp;possessStarId"/>
    <hyperlink ref="H110" r:id="rId203" display="https://v.douyin.com/oc0iSkp3I-Y/" tooltip="https://v.douyin.com/oc0iSkp3I-Y/"/>
    <hyperlink ref="I110" r:id="rId204" display="https://www.xingtu.cn/ad/creator/author-homepage/douyin-video/6870112228712923144?market_track_id=I0U981DWX92MXI5VN9S6&amp;search_session_id=7597722299365965878&amp;possessStarId"/>
    <hyperlink ref="I39" r:id="rId205" display="https://www.xingtu.cn/ad/creator/author-homepage/douyin-video/7098360218605584397?market_track_id=3JWSUIQCG3KMWOONLRSM&amp;search_session_id=7599601920637927465&amp;possessStarId"/>
    <hyperlink ref="I43" r:id="rId206" display="https://www.xingtu.cn/ad/creator/author-homepage/douyin-video/6686261173408497672?market_track_id=C9KC0V2695YKCAMPRZAN&amp;search_session_id=7603622751542902847&amp;possessStarId"/>
    <hyperlink ref="H43" r:id="rId207" display="https://v.douyin.com/HPjVdhwpF6g/"/>
    <hyperlink ref="H31" r:id="rId208" display="https://v.douyin.com/61PqIfAui7Q/"/>
    <hyperlink ref="I31" r:id="rId209" display="https://www.xingtu.cn/ad/creator/author-homepage/douyin-video/6823276289034551309?market_track_id=XQP36RGPN4NM1BSUALXN&amp;search_session_id=7612555550568316991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3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E6" sqref="E6"/>
    </sheetView>
  </sheetViews>
  <sheetFormatPr defaultColWidth="9.81666666666667" defaultRowHeight="13.5"/>
  <cols>
    <col min="1" max="1" width="9.64166666666667" style="1"/>
    <col min="2" max="2" width="5.625" style="33" customWidth="1"/>
    <col min="3" max="3" width="7.625" style="33" customWidth="1"/>
    <col min="4" max="4" width="15.7583333333333" style="146" customWidth="1"/>
    <col min="5" max="5" width="30.3916666666667" style="33" customWidth="1"/>
    <col min="6" max="6" width="14.5583333333333" style="33" customWidth="1"/>
    <col min="7" max="7" width="11.8916666666667" style="33" customWidth="1"/>
    <col min="8" max="8" width="30.4583333333333" style="33" customWidth="1"/>
    <col min="9" max="10" width="9.625" style="33" customWidth="1"/>
    <col min="11" max="13" width="13.775" style="33" customWidth="1"/>
    <col min="14" max="14" width="34.4583333333333" style="147" customWidth="1"/>
    <col min="15" max="15" width="5.44166666666667" style="33" customWidth="1"/>
    <col min="16" max="16382" width="9.64166666666667" style="1"/>
    <col min="16383" max="16384" width="9.81666666666667" style="1"/>
  </cols>
  <sheetData>
    <row r="1" s="1" customFormat="1" ht="70" customHeight="1" spans="1:15">
      <c r="A1" s="148" t="s">
        <v>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="2" customFormat="1" ht="30" customHeight="1" spans="1:15">
      <c r="A2" s="149" t="s">
        <v>1150</v>
      </c>
      <c r="B2" s="149" t="s">
        <v>7</v>
      </c>
      <c r="C2" s="149" t="s">
        <v>9</v>
      </c>
      <c r="D2" s="149" t="s">
        <v>10</v>
      </c>
      <c r="E2" s="149" t="s">
        <v>1151</v>
      </c>
      <c r="F2" s="149" t="s">
        <v>12</v>
      </c>
      <c r="G2" s="149" t="s">
        <v>1152</v>
      </c>
      <c r="H2" s="12" t="s">
        <v>14</v>
      </c>
      <c r="I2" s="12" t="s">
        <v>1153</v>
      </c>
      <c r="J2" s="12" t="s">
        <v>18</v>
      </c>
      <c r="K2" s="12" t="s">
        <v>20</v>
      </c>
      <c r="L2" s="12" t="s">
        <v>21</v>
      </c>
      <c r="M2" s="12" t="s">
        <v>22</v>
      </c>
      <c r="N2" s="150" t="s">
        <v>1154</v>
      </c>
      <c r="O2" s="149" t="s">
        <v>30</v>
      </c>
    </row>
    <row r="3" s="1" customFormat="1" ht="40" customHeight="1" spans="1:15">
      <c r="A3" s="43" t="s">
        <v>1155</v>
      </c>
      <c r="B3" s="111">
        <v>1</v>
      </c>
      <c r="C3" s="65" t="str">
        <f>_xlfn.DISPIMG("ID_B834CA9A2438445EADFD937FC78AAE9F",1)</f>
        <v>=DISPIMG("ID_B834CA9A2438445EADFD937FC78AAE9F",1)</v>
      </c>
      <c r="D3" s="43" t="s">
        <v>1156</v>
      </c>
      <c r="E3" s="111" t="s">
        <v>1157</v>
      </c>
      <c r="F3" s="43" t="s">
        <v>1158</v>
      </c>
      <c r="G3" s="43" t="s">
        <v>1159</v>
      </c>
      <c r="H3" s="43" t="s">
        <v>1160</v>
      </c>
      <c r="I3" s="46">
        <v>603.4</v>
      </c>
      <c r="J3" s="46" t="s">
        <v>40</v>
      </c>
      <c r="K3" s="151">
        <v>150000</v>
      </c>
      <c r="L3" s="151">
        <v>180000</v>
      </c>
      <c r="M3" s="151">
        <v>200000</v>
      </c>
      <c r="N3" s="111" t="s">
        <v>1161</v>
      </c>
      <c r="O3" s="43" t="s">
        <v>606</v>
      </c>
    </row>
    <row r="4" s="1" customFormat="1" ht="40" customHeight="1" spans="1:15">
      <c r="A4" s="61" t="s">
        <v>1162</v>
      </c>
      <c r="B4" s="61">
        <v>2</v>
      </c>
      <c r="C4" s="61" t="str">
        <f>_xlfn.DISPIMG("ID_ED6D7241C08D4B8081FD7E8F3FBC30D4",1)</f>
        <v>=DISPIMG("ID_ED6D7241C08D4B8081FD7E8F3FBC30D4",1)</v>
      </c>
      <c r="D4" s="61" t="s">
        <v>1163</v>
      </c>
      <c r="E4" s="64" t="s">
        <v>1164</v>
      </c>
      <c r="F4" s="64" t="s">
        <v>1165</v>
      </c>
      <c r="G4" s="64" t="s">
        <v>1166</v>
      </c>
      <c r="H4" s="64" t="s">
        <v>1167</v>
      </c>
      <c r="I4" s="152">
        <v>1634.6</v>
      </c>
      <c r="J4" s="152">
        <v>98.6</v>
      </c>
      <c r="K4" s="153">
        <v>150000</v>
      </c>
      <c r="L4" s="153">
        <v>200000</v>
      </c>
      <c r="M4" s="153">
        <v>250000</v>
      </c>
      <c r="N4" s="64" t="s">
        <v>1168</v>
      </c>
      <c r="O4" s="64" t="s">
        <v>45</v>
      </c>
    </row>
    <row r="5" s="1" customFormat="1" ht="40" customHeight="1" spans="1:15">
      <c r="A5" s="43" t="s">
        <v>1162</v>
      </c>
      <c r="B5" s="111">
        <v>3</v>
      </c>
      <c r="C5" s="65" t="str">
        <f>_xlfn.DISPIMG("ID_0DC8C4949D3E409B87AEA9AB3791B26D",1)</f>
        <v>=DISPIMG("ID_0DC8C4949D3E409B87AEA9AB3791B26D",1)</v>
      </c>
      <c r="D5" s="43" t="s">
        <v>1169</v>
      </c>
      <c r="E5" s="111" t="s">
        <v>1170</v>
      </c>
      <c r="F5" s="43">
        <v>31758870</v>
      </c>
      <c r="G5" s="43" t="s">
        <v>1166</v>
      </c>
      <c r="H5" s="43" t="s">
        <v>1171</v>
      </c>
      <c r="I5" s="46">
        <v>210.7</v>
      </c>
      <c r="J5" s="46">
        <v>227.2</v>
      </c>
      <c r="K5" s="151">
        <v>35000</v>
      </c>
      <c r="L5" s="151">
        <v>38000</v>
      </c>
      <c r="M5" s="151">
        <v>42000</v>
      </c>
      <c r="N5" s="111" t="s">
        <v>1172</v>
      </c>
      <c r="O5" s="43" t="s">
        <v>45</v>
      </c>
    </row>
    <row r="6" s="1" customFormat="1" ht="40" customHeight="1" spans="1:15">
      <c r="A6" s="61" t="s">
        <v>305</v>
      </c>
      <c r="B6" s="61">
        <v>4</v>
      </c>
      <c r="C6" s="61" t="str">
        <f>_xlfn.DISPIMG("ID_B63F0D4E47FD4237923B412788D91114",1)</f>
        <v>=DISPIMG("ID_B63F0D4E47FD4237923B412788D91114",1)</v>
      </c>
      <c r="D6" s="61" t="s">
        <v>1173</v>
      </c>
      <c r="E6" s="64" t="s">
        <v>1174</v>
      </c>
      <c r="F6" s="64" t="s">
        <v>1175</v>
      </c>
      <c r="G6" s="64" t="s">
        <v>305</v>
      </c>
      <c r="H6" s="64" t="s">
        <v>1176</v>
      </c>
      <c r="I6" s="152">
        <v>546</v>
      </c>
      <c r="J6" s="152">
        <v>15.3</v>
      </c>
      <c r="K6" s="153">
        <v>27450</v>
      </c>
      <c r="L6" s="153">
        <v>45000</v>
      </c>
      <c r="M6" s="153">
        <v>60000</v>
      </c>
      <c r="N6" s="64" t="s">
        <v>1177</v>
      </c>
      <c r="O6" s="64" t="s">
        <v>585</v>
      </c>
    </row>
    <row r="7" s="1" customFormat="1" ht="40" customHeight="1" spans="1:15">
      <c r="A7" s="43" t="s">
        <v>305</v>
      </c>
      <c r="B7" s="111">
        <v>5</v>
      </c>
      <c r="C7" s="65" t="str">
        <f>_xlfn.DISPIMG("ID_4667BC96DDF2491FBB744EB49DCB619C",1)</f>
        <v>=DISPIMG("ID_4667BC96DDF2491FBB744EB49DCB619C",1)</v>
      </c>
      <c r="D7" s="43" t="s">
        <v>1178</v>
      </c>
      <c r="E7" s="111" t="s">
        <v>1179</v>
      </c>
      <c r="F7" s="43" t="s">
        <v>1180</v>
      </c>
      <c r="G7" s="43" t="s">
        <v>152</v>
      </c>
      <c r="H7" s="43" t="s">
        <v>1181</v>
      </c>
      <c r="I7" s="46">
        <v>169.6</v>
      </c>
      <c r="J7" s="46">
        <v>27.9</v>
      </c>
      <c r="K7" s="151">
        <v>100000</v>
      </c>
      <c r="L7" s="151">
        <v>120000</v>
      </c>
      <c r="M7" s="151">
        <v>180000</v>
      </c>
      <c r="N7" s="111" t="s">
        <v>1182</v>
      </c>
      <c r="O7" s="43" t="s">
        <v>1183</v>
      </c>
    </row>
    <row r="8" s="1" customFormat="1" ht="40" customHeight="1" spans="1:15">
      <c r="A8" s="61" t="s">
        <v>305</v>
      </c>
      <c r="B8" s="61">
        <v>6</v>
      </c>
      <c r="C8" s="61" t="str">
        <f>_xlfn.DISPIMG("ID_09555191A04C47CE80C8671C51A1789E",1)</f>
        <v>=DISPIMG("ID_09555191A04C47CE80C8671C51A1789E",1)</v>
      </c>
      <c r="D8" s="61" t="s">
        <v>1184</v>
      </c>
      <c r="E8" s="64" t="s">
        <v>1185</v>
      </c>
      <c r="F8" s="64" t="s">
        <v>1186</v>
      </c>
      <c r="G8" s="64" t="s">
        <v>305</v>
      </c>
      <c r="H8" s="64" t="s">
        <v>1187</v>
      </c>
      <c r="I8" s="152">
        <v>59.5</v>
      </c>
      <c r="J8" s="152">
        <v>41.8</v>
      </c>
      <c r="K8" s="153">
        <v>11800</v>
      </c>
      <c r="L8" s="153">
        <v>15800</v>
      </c>
      <c r="M8" s="153">
        <v>19800</v>
      </c>
      <c r="N8" s="64" t="s">
        <v>1188</v>
      </c>
      <c r="O8" s="64" t="s">
        <v>574</v>
      </c>
    </row>
    <row r="9" s="1" customFormat="1" ht="40" customHeight="1" spans="1:15">
      <c r="A9" s="43" t="s">
        <v>1189</v>
      </c>
      <c r="B9" s="111">
        <v>7</v>
      </c>
      <c r="C9" s="65" t="str">
        <f>_xlfn.DISPIMG("ID_0BB29904F01945A098FA5B13AF9C6B23",1)</f>
        <v>=DISPIMG("ID_0BB29904F01945A098FA5B13AF9C6B23",1)</v>
      </c>
      <c r="D9" s="43" t="s">
        <v>1190</v>
      </c>
      <c r="E9" s="111" t="s">
        <v>1191</v>
      </c>
      <c r="F9" s="43" t="s">
        <v>1192</v>
      </c>
      <c r="G9" s="43" t="s">
        <v>1189</v>
      </c>
      <c r="H9" s="43" t="s">
        <v>1193</v>
      </c>
      <c r="I9" s="46">
        <v>125.8</v>
      </c>
      <c r="J9" s="46">
        <v>70.2</v>
      </c>
      <c r="K9" s="151">
        <v>50000</v>
      </c>
      <c r="L9" s="151">
        <v>55000</v>
      </c>
      <c r="M9" s="151">
        <v>60000</v>
      </c>
      <c r="N9" s="111" t="s">
        <v>1194</v>
      </c>
      <c r="O9" s="43" t="s">
        <v>585</v>
      </c>
    </row>
    <row r="10" s="1" customFormat="1" ht="40" customHeight="1" spans="1:15">
      <c r="A10" s="61" t="s">
        <v>926</v>
      </c>
      <c r="B10" s="61">
        <v>8</v>
      </c>
      <c r="C10" s="61" t="str">
        <f>_xlfn.DISPIMG("ID_3612EE88D5934574A901D287B93AF116",1)</f>
        <v>=DISPIMG("ID_3612EE88D5934574A901D287B93AF116",1)</v>
      </c>
      <c r="D10" s="61" t="s">
        <v>1195</v>
      </c>
      <c r="E10" s="64" t="s">
        <v>1196</v>
      </c>
      <c r="F10" s="64" t="s">
        <v>1197</v>
      </c>
      <c r="G10" s="64" t="s">
        <v>802</v>
      </c>
      <c r="H10" s="64" t="s">
        <v>1198</v>
      </c>
      <c r="I10" s="152">
        <v>614.1</v>
      </c>
      <c r="J10" s="152">
        <v>24</v>
      </c>
      <c r="K10" s="153">
        <v>250000</v>
      </c>
      <c r="L10" s="153">
        <v>280000</v>
      </c>
      <c r="M10" s="153">
        <v>300000</v>
      </c>
      <c r="N10" s="64" t="s">
        <v>1199</v>
      </c>
      <c r="O10" s="64" t="s">
        <v>585</v>
      </c>
    </row>
    <row r="11" s="1" customFormat="1" ht="40" customHeight="1" spans="1:15">
      <c r="A11" s="43" t="s">
        <v>926</v>
      </c>
      <c r="B11" s="111">
        <v>9</v>
      </c>
      <c r="C11" s="65" t="str">
        <f>_xlfn.DISPIMG("ID_0CBF9193802644CAB0966EFF5519F696",1)</f>
        <v>=DISPIMG("ID_0CBF9193802644CAB0966EFF5519F696",1)</v>
      </c>
      <c r="D11" s="43" t="s">
        <v>1200</v>
      </c>
      <c r="E11" s="111" t="s">
        <v>1201</v>
      </c>
      <c r="F11" s="43" t="s">
        <v>1202</v>
      </c>
      <c r="G11" s="43" t="s">
        <v>1203</v>
      </c>
      <c r="H11" s="43" t="s">
        <v>1204</v>
      </c>
      <c r="I11" s="46">
        <v>746.9</v>
      </c>
      <c r="J11" s="46">
        <v>47.1</v>
      </c>
      <c r="K11" s="151">
        <v>95000</v>
      </c>
      <c r="L11" s="151">
        <v>100000</v>
      </c>
      <c r="M11" s="151">
        <v>120000</v>
      </c>
      <c r="N11" s="111" t="s">
        <v>1205</v>
      </c>
      <c r="O11" s="43" t="s">
        <v>585</v>
      </c>
    </row>
    <row r="12" s="1" customFormat="1" ht="40" customHeight="1" spans="1:15">
      <c r="A12" s="61" t="s">
        <v>926</v>
      </c>
      <c r="B12" s="61">
        <v>10</v>
      </c>
      <c r="C12" s="61" t="str">
        <f>_xlfn.DISPIMG("ID_730B0317D023468F91CFCE89195B0DCA",1)</f>
        <v>=DISPIMG("ID_730B0317D023468F91CFCE89195B0DCA",1)</v>
      </c>
      <c r="D12" s="61" t="s">
        <v>1206</v>
      </c>
      <c r="E12" s="64" t="s">
        <v>1207</v>
      </c>
      <c r="F12" s="64" t="s">
        <v>1208</v>
      </c>
      <c r="G12" s="64" t="s">
        <v>339</v>
      </c>
      <c r="H12" s="64" t="s">
        <v>1209</v>
      </c>
      <c r="I12" s="152">
        <v>309.9</v>
      </c>
      <c r="J12" s="152">
        <v>98.4</v>
      </c>
      <c r="K12" s="153">
        <v>35000</v>
      </c>
      <c r="L12" s="153">
        <v>45000</v>
      </c>
      <c r="M12" s="153">
        <v>52000</v>
      </c>
      <c r="N12" s="64" t="s">
        <v>1210</v>
      </c>
      <c r="O12" s="64" t="s">
        <v>1211</v>
      </c>
    </row>
    <row r="13" s="1" customFormat="1" ht="40" customHeight="1" spans="1:15">
      <c r="A13" s="43" t="s">
        <v>926</v>
      </c>
      <c r="B13" s="111">
        <v>11</v>
      </c>
      <c r="C13" s="65" t="str">
        <f>_xlfn.DISPIMG("ID_0B01EE3AE8F24C9EA8ABA8274A248C0D",1)</f>
        <v>=DISPIMG("ID_0B01EE3AE8F24C9EA8ABA8274A248C0D",1)</v>
      </c>
      <c r="D13" s="43" t="s">
        <v>1212</v>
      </c>
      <c r="E13" s="111" t="s">
        <v>1213</v>
      </c>
      <c r="F13" s="43" t="s">
        <v>1214</v>
      </c>
      <c r="G13" s="43" t="s">
        <v>1215</v>
      </c>
      <c r="H13" s="43" t="s">
        <v>1216</v>
      </c>
      <c r="I13" s="46">
        <v>239.6</v>
      </c>
      <c r="J13" s="46">
        <v>24.4</v>
      </c>
      <c r="K13" s="151">
        <v>72000</v>
      </c>
      <c r="L13" s="151">
        <v>78000</v>
      </c>
      <c r="M13" s="151">
        <v>85000</v>
      </c>
      <c r="N13" s="111" t="s">
        <v>1217</v>
      </c>
      <c r="O13" s="43" t="s">
        <v>1218</v>
      </c>
    </row>
    <row r="14" s="1" customFormat="1" ht="40" customHeight="1" spans="1:15">
      <c r="A14" s="61" t="s">
        <v>926</v>
      </c>
      <c r="B14" s="61">
        <v>12</v>
      </c>
      <c r="C14" s="61" t="str">
        <f>_xlfn.DISPIMG("ID_CE7BCC6A91624D2CB1729F2763EA041C",1)</f>
        <v>=DISPIMG("ID_CE7BCC6A91624D2CB1729F2763EA041C",1)</v>
      </c>
      <c r="D14" s="61" t="s">
        <v>1219</v>
      </c>
      <c r="E14" s="64" t="s">
        <v>1220</v>
      </c>
      <c r="F14" s="64">
        <v>3166364</v>
      </c>
      <c r="G14" s="64" t="s">
        <v>182</v>
      </c>
      <c r="H14" s="64" t="s">
        <v>1221</v>
      </c>
      <c r="I14" s="152">
        <v>154.7</v>
      </c>
      <c r="J14" s="152">
        <v>229.3</v>
      </c>
      <c r="K14" s="153">
        <v>40000</v>
      </c>
      <c r="L14" s="153">
        <v>62000</v>
      </c>
      <c r="M14" s="153">
        <v>78000</v>
      </c>
      <c r="N14" s="64" t="s">
        <v>1222</v>
      </c>
      <c r="O14" s="64" t="s">
        <v>585</v>
      </c>
    </row>
    <row r="15" s="1" customFormat="1" ht="40" customHeight="1" spans="1:15">
      <c r="A15" s="43" t="s">
        <v>926</v>
      </c>
      <c r="B15" s="111">
        <v>13</v>
      </c>
      <c r="C15" s="65" t="str">
        <f>_xlfn.DISPIMG("ID_9E9EC13F78C54133AB32AE14184AA937",1)</f>
        <v>=DISPIMG("ID_9E9EC13F78C54133AB32AE14184AA937",1)</v>
      </c>
      <c r="D15" s="43" t="s">
        <v>1223</v>
      </c>
      <c r="E15" s="111" t="s">
        <v>1224</v>
      </c>
      <c r="F15" s="43">
        <v>1308037212</v>
      </c>
      <c r="G15" s="43" t="s">
        <v>1225</v>
      </c>
      <c r="H15" s="43" t="s">
        <v>1226</v>
      </c>
      <c r="I15" s="46">
        <v>99.1</v>
      </c>
      <c r="J15" s="46" t="s">
        <v>40</v>
      </c>
      <c r="K15" s="151">
        <v>35000</v>
      </c>
      <c r="L15" s="151">
        <v>55000</v>
      </c>
      <c r="M15" s="151">
        <v>60000</v>
      </c>
      <c r="N15" s="111" t="s">
        <v>1227</v>
      </c>
      <c r="O15" s="43" t="s">
        <v>585</v>
      </c>
    </row>
    <row r="16" s="1" customFormat="1" ht="40" customHeight="1" spans="1:15">
      <c r="A16" s="61" t="s">
        <v>1228</v>
      </c>
      <c r="B16" s="61">
        <v>14</v>
      </c>
      <c r="C16" s="61" t="str">
        <f>_xlfn.DISPIMG("ID_16C32DF3D3AF437CA4B16D344B38424E",1)</f>
        <v>=DISPIMG("ID_16C32DF3D3AF437CA4B16D344B38424E",1)</v>
      </c>
      <c r="D16" s="61" t="s">
        <v>1229</v>
      </c>
      <c r="E16" s="64" t="s">
        <v>1230</v>
      </c>
      <c r="F16" s="64" t="s">
        <v>1231</v>
      </c>
      <c r="G16" s="64" t="s">
        <v>1232</v>
      </c>
      <c r="H16" s="64" t="s">
        <v>1233</v>
      </c>
      <c r="I16" s="152">
        <v>51.7</v>
      </c>
      <c r="J16" s="152">
        <v>44.7</v>
      </c>
      <c r="K16" s="153">
        <v>36000</v>
      </c>
      <c r="L16" s="153">
        <v>88000</v>
      </c>
      <c r="M16" s="153">
        <v>90000</v>
      </c>
      <c r="N16" s="64" t="s">
        <v>1234</v>
      </c>
      <c r="O16" s="64" t="s">
        <v>45</v>
      </c>
    </row>
    <row r="17" s="1" customFormat="1" ht="40" customHeight="1" spans="1:15">
      <c r="A17" s="43" t="s">
        <v>1235</v>
      </c>
      <c r="B17" s="111">
        <v>15</v>
      </c>
      <c r="C17" s="43" t="str">
        <f>_xlfn.DISPIMG("ID_547B2A4A05864D7084B83E65BBA0ED2D",1)</f>
        <v>=DISPIMG("ID_547B2A4A05864D7084B83E65BBA0ED2D",1)</v>
      </c>
      <c r="D17" s="43" t="s">
        <v>1236</v>
      </c>
      <c r="E17" s="111" t="s">
        <v>1237</v>
      </c>
      <c r="F17" s="43" t="s">
        <v>1238</v>
      </c>
      <c r="G17" s="43" t="s">
        <v>1235</v>
      </c>
      <c r="H17" s="46" t="s">
        <v>1239</v>
      </c>
      <c r="I17" s="46">
        <v>180.8</v>
      </c>
      <c r="J17" s="46">
        <v>36.6</v>
      </c>
      <c r="K17" s="151">
        <v>46000</v>
      </c>
      <c r="L17" s="151">
        <v>115000</v>
      </c>
      <c r="M17" s="151">
        <v>120000</v>
      </c>
      <c r="N17" s="111" t="s">
        <v>1240</v>
      </c>
      <c r="O17" s="43" t="s">
        <v>45</v>
      </c>
    </row>
    <row r="18" s="1" customFormat="1" ht="40" customHeight="1" spans="1:15">
      <c r="A18" s="61" t="s">
        <v>1241</v>
      </c>
      <c r="B18" s="61">
        <v>16</v>
      </c>
      <c r="C18" s="61" t="str">
        <f>_xlfn.DISPIMG("ID_63090E4CF6604B89B983FCA4F74AF984",1)</f>
        <v>=DISPIMG("ID_63090E4CF6604B89B983FCA4F74AF984",1)</v>
      </c>
      <c r="D18" s="61" t="s">
        <v>1242</v>
      </c>
      <c r="E18" s="64" t="s">
        <v>1243</v>
      </c>
      <c r="F18" s="64" t="s">
        <v>1244</v>
      </c>
      <c r="G18" s="64" t="s">
        <v>1241</v>
      </c>
      <c r="H18" s="64" t="s">
        <v>1245</v>
      </c>
      <c r="I18" s="152">
        <v>276.6</v>
      </c>
      <c r="J18" s="152">
        <v>112.7</v>
      </c>
      <c r="K18" s="153">
        <v>50000</v>
      </c>
      <c r="L18" s="153">
        <v>60000</v>
      </c>
      <c r="M18" s="153">
        <v>80000</v>
      </c>
      <c r="N18" s="64" t="s">
        <v>1246</v>
      </c>
      <c r="O18" s="64" t="s">
        <v>135</v>
      </c>
    </row>
    <row r="19" s="1" customFormat="1" ht="40" customHeight="1" spans="1:15">
      <c r="A19" s="43" t="s">
        <v>1247</v>
      </c>
      <c r="B19" s="111">
        <v>17</v>
      </c>
      <c r="C19" s="65" t="str">
        <f>_xlfn.DISPIMG("ID_1B3B087BDDEB46D0B42DC1E122EFFB85",1)</f>
        <v>=DISPIMG("ID_1B3B087BDDEB46D0B42DC1E122EFFB85",1)</v>
      </c>
      <c r="D19" s="43" t="s">
        <v>1248</v>
      </c>
      <c r="E19" s="111" t="s">
        <v>1249</v>
      </c>
      <c r="F19" s="43" t="s">
        <v>1250</v>
      </c>
      <c r="G19" s="43" t="s">
        <v>1251</v>
      </c>
      <c r="H19" s="43" t="s">
        <v>1252</v>
      </c>
      <c r="I19" s="46">
        <v>15.9</v>
      </c>
      <c r="J19" s="46">
        <v>232.3</v>
      </c>
      <c r="K19" s="151">
        <v>30375</v>
      </c>
      <c r="L19" s="151">
        <v>33750</v>
      </c>
      <c r="M19" s="151">
        <v>37125</v>
      </c>
      <c r="N19" s="111" t="s">
        <v>1253</v>
      </c>
      <c r="O19" s="43" t="s">
        <v>854</v>
      </c>
    </row>
    <row r="20" s="1" customFormat="1" ht="40" customHeight="1" spans="1:15">
      <c r="A20" s="64" t="s">
        <v>1254</v>
      </c>
      <c r="B20" s="61">
        <v>18</v>
      </c>
      <c r="C20" s="61" t="str">
        <f>_xlfn.DISPIMG("ID_B4B4BB3D704B46D384FA3FA819376249",1)</f>
        <v>=DISPIMG("ID_B4B4BB3D704B46D384FA3FA819376249",1)</v>
      </c>
      <c r="D20" s="61" t="s">
        <v>1255</v>
      </c>
      <c r="E20" s="64" t="s">
        <v>1256</v>
      </c>
      <c r="F20" s="64" t="s">
        <v>1257</v>
      </c>
      <c r="G20" s="64" t="s">
        <v>1254</v>
      </c>
      <c r="H20" s="64" t="s">
        <v>1258</v>
      </c>
      <c r="I20" s="152">
        <v>803</v>
      </c>
      <c r="J20" s="152">
        <v>172.6</v>
      </c>
      <c r="K20" s="153">
        <v>70000</v>
      </c>
      <c r="L20" s="153">
        <v>80000</v>
      </c>
      <c r="M20" s="153">
        <v>120000</v>
      </c>
      <c r="N20" s="64" t="s">
        <v>40</v>
      </c>
      <c r="O20" s="64" t="s">
        <v>585</v>
      </c>
    </row>
    <row r="21" s="1" customFormat="1" ht="40" customHeight="1" spans="1:15">
      <c r="A21" s="43" t="s">
        <v>1254</v>
      </c>
      <c r="B21" s="111">
        <v>19</v>
      </c>
      <c r="C21" s="43" t="str">
        <f>_xlfn.DISPIMG("ID_58957AB2E59D4BABBF286AE84F688EE2",1)</f>
        <v>=DISPIMG("ID_58957AB2E59D4BABBF286AE84F688EE2",1)</v>
      </c>
      <c r="D21" s="43" t="s">
        <v>1259</v>
      </c>
      <c r="E21" s="111" t="s">
        <v>1260</v>
      </c>
      <c r="F21" s="43" t="s">
        <v>1261</v>
      </c>
      <c r="G21" s="43" t="s">
        <v>1254</v>
      </c>
      <c r="H21" s="43" t="s">
        <v>1262</v>
      </c>
      <c r="I21" s="46">
        <v>254</v>
      </c>
      <c r="J21" s="46">
        <v>352.7</v>
      </c>
      <c r="K21" s="151">
        <v>30000</v>
      </c>
      <c r="L21" s="151">
        <v>30000</v>
      </c>
      <c r="M21" s="151">
        <v>50000</v>
      </c>
      <c r="N21" s="111" t="s">
        <v>40</v>
      </c>
      <c r="O21" s="43" t="s">
        <v>585</v>
      </c>
    </row>
    <row r="22" s="1" customFormat="1" ht="40" customHeight="1" spans="1:15">
      <c r="A22" s="61" t="s">
        <v>1263</v>
      </c>
      <c r="B22" s="61">
        <v>20</v>
      </c>
      <c r="C22" s="61" t="str">
        <f>_xlfn.DISPIMG("ID_70FBF44445904444A1E6F429015D15EF",1)</f>
        <v>=DISPIMG("ID_70FBF44445904444A1E6F429015D15EF",1)</v>
      </c>
      <c r="D22" s="61" t="s">
        <v>1264</v>
      </c>
      <c r="E22" s="64" t="s">
        <v>1265</v>
      </c>
      <c r="F22" s="64" t="s">
        <v>1266</v>
      </c>
      <c r="G22" s="64" t="s">
        <v>1267</v>
      </c>
      <c r="H22" s="64" t="s">
        <v>1268</v>
      </c>
      <c r="I22" s="152">
        <v>131</v>
      </c>
      <c r="J22" s="152">
        <v>375.5</v>
      </c>
      <c r="K22" s="153">
        <v>8000</v>
      </c>
      <c r="L22" s="153">
        <v>15000</v>
      </c>
      <c r="M22" s="153">
        <v>25000</v>
      </c>
      <c r="N22" s="64" t="s">
        <v>40</v>
      </c>
      <c r="O22" s="64" t="s">
        <v>585</v>
      </c>
    </row>
    <row r="23" s="1" customFormat="1" ht="40" customHeight="1" spans="1:15">
      <c r="A23" s="43" t="s">
        <v>1269</v>
      </c>
      <c r="B23" s="111">
        <v>21</v>
      </c>
      <c r="C23" s="65" t="str">
        <f>_xlfn.DISPIMG("ID_B2D7A3FA97F940859CC6E02CDE6FFD84",1)</f>
        <v>=DISPIMG("ID_B2D7A3FA97F940859CC6E02CDE6FFD84",1)</v>
      </c>
      <c r="D23" s="43" t="s">
        <v>1270</v>
      </c>
      <c r="E23" s="111" t="s">
        <v>1271</v>
      </c>
      <c r="F23" s="43" t="s">
        <v>1272</v>
      </c>
      <c r="G23" s="43" t="s">
        <v>1273</v>
      </c>
      <c r="H23" s="43" t="s">
        <v>1274</v>
      </c>
      <c r="I23" s="46">
        <v>1105</v>
      </c>
      <c r="J23" s="46">
        <v>273.2</v>
      </c>
      <c r="K23" s="151">
        <v>85000</v>
      </c>
      <c r="L23" s="151">
        <v>90000</v>
      </c>
      <c r="M23" s="151">
        <v>140000</v>
      </c>
      <c r="N23" s="111" t="s">
        <v>1275</v>
      </c>
      <c r="O23" s="43" t="s">
        <v>585</v>
      </c>
    </row>
    <row r="24" s="1" customFormat="1" ht="40" customHeight="1" spans="1:15">
      <c r="A24" s="61" t="s">
        <v>1269</v>
      </c>
      <c r="B24" s="61">
        <v>22</v>
      </c>
      <c r="C24" s="61" t="str">
        <f>_xlfn.DISPIMG("ID_AA2D2A5BCE8645FFB273E13C73B42B7C",1)</f>
        <v>=DISPIMG("ID_AA2D2A5BCE8645FFB273E13C73B42B7C",1)</v>
      </c>
      <c r="D24" s="61" t="s">
        <v>1276</v>
      </c>
      <c r="E24" s="64" t="s">
        <v>1277</v>
      </c>
      <c r="F24" s="64" t="s">
        <v>1278</v>
      </c>
      <c r="G24" s="64" t="s">
        <v>1279</v>
      </c>
      <c r="H24" s="64" t="s">
        <v>1280</v>
      </c>
      <c r="I24" s="152">
        <v>484.1</v>
      </c>
      <c r="J24" s="152">
        <v>207.6</v>
      </c>
      <c r="K24" s="153">
        <v>76000</v>
      </c>
      <c r="L24" s="153">
        <v>130000</v>
      </c>
      <c r="M24" s="153">
        <v>150000</v>
      </c>
      <c r="N24" s="64" t="s">
        <v>1281</v>
      </c>
      <c r="O24" s="64" t="s">
        <v>135</v>
      </c>
    </row>
    <row r="25" s="1" customFormat="1" ht="40" customHeight="1" spans="1:15">
      <c r="A25" s="43" t="s">
        <v>1269</v>
      </c>
      <c r="B25" s="111">
        <v>23</v>
      </c>
      <c r="C25" s="65" t="str">
        <f>_xlfn.DISPIMG("ID_3BDCE9C73163449FA640B821CC7AD18E",1)</f>
        <v>=DISPIMG("ID_3BDCE9C73163449FA640B821CC7AD18E",1)</v>
      </c>
      <c r="D25" s="43" t="s">
        <v>1282</v>
      </c>
      <c r="E25" s="111" t="s">
        <v>1283</v>
      </c>
      <c r="F25" s="43" t="s">
        <v>1284</v>
      </c>
      <c r="G25" s="43" t="s">
        <v>1279</v>
      </c>
      <c r="H25" s="43" t="s">
        <v>1285</v>
      </c>
      <c r="I25" s="46">
        <v>244.7</v>
      </c>
      <c r="J25" s="46">
        <v>117.1</v>
      </c>
      <c r="K25" s="151">
        <v>22000</v>
      </c>
      <c r="L25" s="151">
        <v>30000</v>
      </c>
      <c r="M25" s="151">
        <v>38000</v>
      </c>
      <c r="N25" s="111" t="s">
        <v>40</v>
      </c>
      <c r="O25" s="43" t="s">
        <v>945</v>
      </c>
    </row>
    <row r="26" s="1" customFormat="1" ht="40" customHeight="1" spans="1:15">
      <c r="A26" s="61" t="s">
        <v>1269</v>
      </c>
      <c r="B26" s="61">
        <v>24</v>
      </c>
      <c r="C26" s="61" t="str">
        <f>_xlfn.DISPIMG("ID_761495A2F924407682D5AF1846219854",1)</f>
        <v>=DISPIMG("ID_761495A2F924407682D5AF1846219854",1)</v>
      </c>
      <c r="D26" s="61" t="s">
        <v>1286</v>
      </c>
      <c r="E26" s="64" t="s">
        <v>1287</v>
      </c>
      <c r="F26" s="64">
        <v>1682586568</v>
      </c>
      <c r="G26" s="64" t="s">
        <v>1288</v>
      </c>
      <c r="H26" s="64" t="s">
        <v>1289</v>
      </c>
      <c r="I26" s="152">
        <v>121.4</v>
      </c>
      <c r="J26" s="152" t="s">
        <v>40</v>
      </c>
      <c r="K26" s="153">
        <v>20000</v>
      </c>
      <c r="L26" s="153">
        <v>30000</v>
      </c>
      <c r="M26" s="153">
        <v>40000</v>
      </c>
      <c r="N26" s="64" t="s">
        <v>1290</v>
      </c>
      <c r="O26" s="64" t="s">
        <v>574</v>
      </c>
    </row>
    <row r="27" s="1" customFormat="1" ht="40" customHeight="1" spans="1:15">
      <c r="A27" s="43" t="s">
        <v>1269</v>
      </c>
      <c r="B27" s="111">
        <v>25</v>
      </c>
      <c r="C27" s="65" t="str">
        <f>_xlfn.DISPIMG("ID_5C07DC249D664D0DAC4CBF35D4432619",1)</f>
        <v>=DISPIMG("ID_5C07DC249D664D0DAC4CBF35D4432619",1)</v>
      </c>
      <c r="D27" s="43" t="s">
        <v>1291</v>
      </c>
      <c r="E27" s="111" t="s">
        <v>1292</v>
      </c>
      <c r="F27" s="43" t="s">
        <v>1293</v>
      </c>
      <c r="G27" s="43" t="s">
        <v>1294</v>
      </c>
      <c r="H27" s="43" t="s">
        <v>1295</v>
      </c>
      <c r="I27" s="46">
        <v>289.1</v>
      </c>
      <c r="J27" s="46">
        <v>153.1</v>
      </c>
      <c r="K27" s="151">
        <v>31200</v>
      </c>
      <c r="L27" s="151">
        <v>39000</v>
      </c>
      <c r="M27" s="151">
        <v>54000</v>
      </c>
      <c r="N27" s="111" t="s">
        <v>1296</v>
      </c>
      <c r="O27" s="43" t="s">
        <v>945</v>
      </c>
    </row>
    <row r="28" s="1" customFormat="1" ht="40" customHeight="1" spans="1:15">
      <c r="A28" s="61" t="s">
        <v>1269</v>
      </c>
      <c r="B28" s="61">
        <v>26</v>
      </c>
      <c r="C28" s="61" t="str">
        <f>_xlfn.DISPIMG("ID_951FD68B9AF343ADBDA89E3CD33BBC08",1)</f>
        <v>=DISPIMG("ID_951FD68B9AF343ADBDA89E3CD33BBC08",1)</v>
      </c>
      <c r="D28" s="61" t="s">
        <v>1297</v>
      </c>
      <c r="E28" s="64" t="s">
        <v>1298</v>
      </c>
      <c r="F28" s="64" t="s">
        <v>1299</v>
      </c>
      <c r="G28" s="64" t="s">
        <v>1288</v>
      </c>
      <c r="H28" s="64" t="s">
        <v>1300</v>
      </c>
      <c r="I28" s="152">
        <v>172.1</v>
      </c>
      <c r="J28" s="152">
        <v>22.7</v>
      </c>
      <c r="K28" s="153">
        <v>28000</v>
      </c>
      <c r="L28" s="153">
        <v>35000</v>
      </c>
      <c r="M28" s="153">
        <v>42000</v>
      </c>
      <c r="N28" s="64" t="s">
        <v>40</v>
      </c>
      <c r="O28" s="64" t="s">
        <v>945</v>
      </c>
    </row>
    <row r="29" s="1" customFormat="1" ht="40" customHeight="1" spans="1:15">
      <c r="A29" s="43" t="s">
        <v>1269</v>
      </c>
      <c r="B29" s="111">
        <v>27</v>
      </c>
      <c r="C29" s="65" t="str">
        <f>_xlfn.DISPIMG("ID_5FBD3AADE5A8499AAD44448BAFF3AB1B",1)</f>
        <v>=DISPIMG("ID_5FBD3AADE5A8499AAD44448BAFF3AB1B",1)</v>
      </c>
      <c r="D29" s="43" t="s">
        <v>1301</v>
      </c>
      <c r="E29" s="111" t="s">
        <v>1302</v>
      </c>
      <c r="F29" s="43" t="s">
        <v>1303</v>
      </c>
      <c r="G29" s="43" t="s">
        <v>1288</v>
      </c>
      <c r="H29" s="43" t="s">
        <v>1304</v>
      </c>
      <c r="I29" s="46">
        <v>71.9</v>
      </c>
      <c r="J29" s="46">
        <v>16</v>
      </c>
      <c r="K29" s="151">
        <v>15000</v>
      </c>
      <c r="L29" s="151">
        <v>22000</v>
      </c>
      <c r="M29" s="151">
        <v>28000</v>
      </c>
      <c r="N29" s="111" t="s">
        <v>40</v>
      </c>
      <c r="O29" s="43" t="s">
        <v>945</v>
      </c>
    </row>
    <row r="30" s="1" customFormat="1" ht="40" customHeight="1" spans="1:15">
      <c r="A30" s="61" t="s">
        <v>643</v>
      </c>
      <c r="B30" s="61">
        <v>28</v>
      </c>
      <c r="C30" s="61" t="str">
        <f>_xlfn.DISPIMG("ID_C5E246FCA791438196769AD06E435DBF",1)</f>
        <v>=DISPIMG("ID_C5E246FCA791438196769AD06E435DBF",1)</v>
      </c>
      <c r="D30" s="61" t="s">
        <v>1305</v>
      </c>
      <c r="E30" s="64" t="s">
        <v>1306</v>
      </c>
      <c r="F30" s="64" t="s">
        <v>1307</v>
      </c>
      <c r="G30" s="64" t="s">
        <v>643</v>
      </c>
      <c r="H30" s="64" t="s">
        <v>1308</v>
      </c>
      <c r="I30" s="152">
        <v>336.5</v>
      </c>
      <c r="J30" s="152">
        <v>51.8</v>
      </c>
      <c r="K30" s="153">
        <v>26000</v>
      </c>
      <c r="L30" s="153">
        <v>38000</v>
      </c>
      <c r="M30" s="153">
        <v>45000</v>
      </c>
      <c r="N30" s="64" t="s">
        <v>40</v>
      </c>
      <c r="O30" s="64" t="s">
        <v>45</v>
      </c>
    </row>
    <row r="31" s="1" customFormat="1" ht="40" customHeight="1" spans="1:15">
      <c r="A31" s="43" t="s">
        <v>643</v>
      </c>
      <c r="B31" s="111">
        <v>29</v>
      </c>
      <c r="C31" s="65" t="str">
        <f>_xlfn.DISPIMG("ID_4390B0010FEE44C9B5A3D6C8B9DE9FC1",1)</f>
        <v>=DISPIMG("ID_4390B0010FEE44C9B5A3D6C8B9DE9FC1",1)</v>
      </c>
      <c r="D31" s="43" t="s">
        <v>1309</v>
      </c>
      <c r="E31" s="111" t="s">
        <v>1310</v>
      </c>
      <c r="F31" s="43" t="s">
        <v>1311</v>
      </c>
      <c r="G31" s="43" t="s">
        <v>117</v>
      </c>
      <c r="H31" s="43" t="s">
        <v>1312</v>
      </c>
      <c r="I31" s="46">
        <v>222</v>
      </c>
      <c r="J31" s="46">
        <v>123.3</v>
      </c>
      <c r="K31" s="151">
        <v>60000</v>
      </c>
      <c r="L31" s="151">
        <v>71000</v>
      </c>
      <c r="M31" s="151">
        <v>84000</v>
      </c>
      <c r="N31" s="111" t="s">
        <v>1313</v>
      </c>
      <c r="O31" s="43" t="s">
        <v>45</v>
      </c>
    </row>
    <row r="32" s="1" customFormat="1" ht="40" customHeight="1" spans="1:15">
      <c r="A32" s="154" t="s">
        <v>447</v>
      </c>
      <c r="B32" s="154">
        <v>30</v>
      </c>
      <c r="C32" s="154" t="str">
        <f>_xlfn.DISPIMG("ID_D42E536C5EDA4EDD8A56237D9040927D",1)</f>
        <v>=DISPIMG("ID_D42E536C5EDA4EDD8A56237D9040927D",1)</v>
      </c>
      <c r="D32" s="154" t="s">
        <v>1314</v>
      </c>
      <c r="E32" s="155" t="s">
        <v>1315</v>
      </c>
      <c r="F32" s="155" t="s">
        <v>1316</v>
      </c>
      <c r="G32" s="155" t="s">
        <v>1317</v>
      </c>
      <c r="H32" s="155" t="s">
        <v>1318</v>
      </c>
      <c r="I32" s="156">
        <v>226.8</v>
      </c>
      <c r="J32" s="156">
        <v>30.4</v>
      </c>
      <c r="K32" s="157">
        <v>35000</v>
      </c>
      <c r="L32" s="157">
        <v>35000</v>
      </c>
      <c r="M32" s="157">
        <v>45000</v>
      </c>
      <c r="N32" s="155" t="s">
        <v>1319</v>
      </c>
      <c r="O32" s="155" t="s">
        <v>1320</v>
      </c>
    </row>
    <row r="33" s="1" customFormat="1" spans="4:14">
      <c r="D33" s="158"/>
      <c r="N33" s="4"/>
    </row>
    <row r="34" s="1" customFormat="1" spans="4:14">
      <c r="D34" s="158"/>
      <c r="N34" s="4"/>
    </row>
  </sheetData>
  <autoFilter xmlns:etc="http://www.wps.cn/officeDocument/2017/etCustomData" ref="A2:O32" etc:filterBottomFollowUsedRange="0">
    <extLst/>
  </autoFilter>
  <mergeCells count="1">
    <mergeCell ref="A1:O1"/>
  </mergeCells>
  <hyperlinks>
    <hyperlink ref="H24" r:id="rId2" display="https://v.douyin.com/LWd4PfQ/"/>
    <hyperlink ref="H12" r:id="rId3" display="https://v.douyin.com/eYqMACg/"/>
    <hyperlink ref="H26" r:id="rId4" display="https://v.douyin.com/Jn8Fe8S/"/>
    <hyperlink ref="H3" r:id="rId5" display="https://v.douyin.com/M3CUn1t/"/>
    <hyperlink ref="H11" r:id="rId6" display="https://v.douyin.com/6QeCELJ/"/>
    <hyperlink ref="H5" r:id="rId7" display="https://v.douyin.com/F52xKBj/"/>
    <hyperlink ref="H27" r:id="rId8" display="https://v.douyin.com/6nnu3ep/"/>
    <hyperlink ref="H13" r:id="rId9" display="https://v.douyin.com/iJsMgCaF/"/>
    <hyperlink ref="H14" r:id="rId10" display="https://v.douyin.com/ie2bqhFJ/"/>
    <hyperlink ref="H32" r:id="rId11" display="https://v.douyin.com/A8oV6Rg/"/>
    <hyperlink ref="H4" r:id="rId12" display="https://v.douyin.com/EoRCNC/"/>
    <hyperlink ref="H9" r:id="rId13" display="https://v.douyin.com/eVyoRpH/"/>
    <hyperlink ref="H15" r:id="rId14" display="https://v.douyin.com/eVfJN5H/"/>
    <hyperlink ref="H25" r:id="rId15" display="https://v.douyin.com/iMnTEUEQ/ 5"/>
    <hyperlink ref="H28" r:id="rId16" display="https://v.douyin.com/iSkaX3wK/ 7@4.com"/>
    <hyperlink ref="H19" r:id="rId17" display="https://v.douyin.com/iR6RY8xk/"/>
    <hyperlink ref="H6" r:id="rId18" display="https://v.douyin.com/bmOwXBxZVL0/"/>
    <hyperlink ref="H31" r:id="rId19" display="https://v.douyin.com/qtWVvJiFOXw/"/>
    <hyperlink ref="H8" r:id="rId20" display="https://v.douyin.com/vG6xXKcEm1M/"/>
    <hyperlink ref="H10" r:id="rId21" display="https://v.douyin.com/8fK-mzMbqx4/ 9@3.com"/>
    <hyperlink ref="H29" r:id="rId22" display="https://v.douyin.com/Rxq1VX9/"/>
    <hyperlink ref="H18" r:id="rId23" display="https://v.douyin.com/b6GOMqiezVg/"/>
    <hyperlink ref="H7" r:id="rId24" display="https://v.douyin.com/i5WxXkUV/"/>
    <hyperlink ref="H30" r:id="rId25" display="https://v.douyin.com/iM2BnUWc/" tooltip="https://v.douyin.com/iM2BnUWc/"/>
    <hyperlink ref="H16" r:id="rId26" display="https://v.douyin.com/vEFkVURsq8c/"/>
    <hyperlink ref="H17" r:id="rId27" display="https://v.douyin.com/otyMvGOVt44/"/>
    <hyperlink ref="H23" r:id="rId28" display="https://v.douyin.com/7MUzLKw2aDs/"/>
    <hyperlink ref="H22" r:id="rId29" display="https://v.douyin.com/ye9b2f5Zxfo/"/>
    <hyperlink ref="H20" r:id="rId30" display="https://v.douyin.com/NecqtmzI3XI/"/>
    <hyperlink ref="H21" r:id="rId31" display="https://v.douyin.com/8oBw_hRyLHk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58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K51" sqref="K51"/>
    </sheetView>
  </sheetViews>
  <sheetFormatPr defaultColWidth="9.81666666666667" defaultRowHeight="14.25"/>
  <cols>
    <col min="1" max="3" width="7.625" style="96" customWidth="1"/>
    <col min="4" max="4" width="14.7583333333333" style="96" customWidth="1"/>
    <col min="5" max="5" width="12.8833333333333" style="96" customWidth="1"/>
    <col min="6" max="6" width="30.625" style="96" customWidth="1"/>
    <col min="7" max="7" width="15.625" style="97" customWidth="1"/>
    <col min="8" max="10" width="9" style="96" customWidth="1"/>
    <col min="11" max="13" width="18.2583333333333" style="96" customWidth="1"/>
    <col min="14" max="15" width="25.2583333333333" style="96" customWidth="1"/>
    <col min="16" max="16369" width="9" style="96" customWidth="1"/>
    <col min="16370" max="16375" width="9.64166666666667" style="96"/>
    <col min="16376" max="16384" width="9.81666666666667" style="96"/>
  </cols>
  <sheetData>
    <row r="1" s="92" customFormat="1" ht="70" customHeight="1" spans="1:15">
      <c r="A1" s="98" t="s">
        <v>1321</v>
      </c>
      <c r="B1" s="98"/>
      <c r="C1" s="98"/>
      <c r="D1" s="98"/>
      <c r="E1" s="98"/>
      <c r="F1" s="98"/>
      <c r="G1" s="98"/>
      <c r="H1" s="99"/>
      <c r="I1" s="99"/>
      <c r="J1" s="98"/>
      <c r="K1" s="98"/>
      <c r="L1" s="98"/>
      <c r="M1" s="98"/>
      <c r="N1" s="98"/>
      <c r="O1" s="100"/>
    </row>
    <row r="2" s="93" customFormat="1" ht="30" customHeight="1" spans="1:15">
      <c r="A2" s="101" t="s">
        <v>7</v>
      </c>
      <c r="B2" s="101" t="s">
        <v>8</v>
      </c>
      <c r="C2" s="101" t="s">
        <v>9</v>
      </c>
      <c r="D2" s="101" t="s">
        <v>1322</v>
      </c>
      <c r="E2" s="101" t="s">
        <v>1323</v>
      </c>
      <c r="F2" s="101" t="s">
        <v>1324</v>
      </c>
      <c r="G2" s="102" t="s">
        <v>1150</v>
      </c>
      <c r="H2" s="103" t="s">
        <v>1325</v>
      </c>
      <c r="I2" s="103" t="s">
        <v>1326</v>
      </c>
      <c r="J2" s="101" t="s">
        <v>1327</v>
      </c>
      <c r="K2" s="101" t="s">
        <v>1328</v>
      </c>
      <c r="L2" s="101" t="s">
        <v>1329</v>
      </c>
      <c r="M2" s="101" t="s">
        <v>1330</v>
      </c>
      <c r="N2" s="101" t="s">
        <v>1331</v>
      </c>
      <c r="O2" s="101" t="s">
        <v>1332</v>
      </c>
    </row>
    <row r="3" s="94" customFormat="1" ht="25" customHeight="1" spans="1:15">
      <c r="A3" s="104"/>
      <c r="B3" s="104"/>
      <c r="C3" s="104"/>
      <c r="D3" s="104"/>
      <c r="E3" s="104"/>
      <c r="F3" s="104"/>
      <c r="G3" s="104" t="s">
        <v>1333</v>
      </c>
      <c r="H3" s="105"/>
      <c r="I3" s="105"/>
      <c r="J3" s="104"/>
      <c r="K3" s="104"/>
      <c r="L3" s="104"/>
      <c r="M3" s="104"/>
      <c r="N3" s="104"/>
      <c r="O3" s="104"/>
    </row>
    <row r="4" s="95" customFormat="1" ht="40" customHeight="1" spans="1:15">
      <c r="A4" s="46">
        <v>1</v>
      </c>
      <c r="B4" s="106"/>
      <c r="C4" s="46" t="str">
        <f>_xlfn.DISPIMG("ID_A6675DD95B294FC2ACC30F776E4AB778",1)</f>
        <v>=DISPIMG("ID_A6675DD95B294FC2ACC30F776E4AB778",1)</v>
      </c>
      <c r="D4" s="46" t="s">
        <v>764</v>
      </c>
      <c r="E4" s="46">
        <v>981277009</v>
      </c>
      <c r="F4" s="107" t="s">
        <v>1334</v>
      </c>
      <c r="G4" s="107" t="s">
        <v>1335</v>
      </c>
      <c r="H4" s="46">
        <v>42</v>
      </c>
      <c r="I4" s="46">
        <v>1162.7</v>
      </c>
      <c r="J4" s="108" t="s">
        <v>574</v>
      </c>
      <c r="K4" s="109">
        <v>45000</v>
      </c>
      <c r="L4" s="109">
        <v>60000</v>
      </c>
      <c r="M4" s="110" t="s">
        <v>1336</v>
      </c>
      <c r="N4" s="111" t="s">
        <v>1337</v>
      </c>
      <c r="O4" s="112" t="s">
        <v>1338</v>
      </c>
    </row>
    <row r="5" s="95" customFormat="1" ht="40" customHeight="1" spans="1:15">
      <c r="A5" s="40">
        <v>2</v>
      </c>
      <c r="B5" s="113"/>
      <c r="C5" t="str">
        <f>_xlfn.DISPIMG("ID_E087719546474FE096C56135EBBC5D5A",1)</f>
        <v>=DISPIMG("ID_E087719546474FE096C56135EBBC5D5A",1)</v>
      </c>
      <c r="D5" s="40" t="s">
        <v>630</v>
      </c>
      <c r="E5" s="40" t="s">
        <v>1339</v>
      </c>
      <c r="F5" s="114" t="s">
        <v>1340</v>
      </c>
      <c r="G5" s="114" t="s">
        <v>1341</v>
      </c>
      <c r="H5" s="40">
        <v>41.3</v>
      </c>
      <c r="I5" s="40">
        <v>421.8</v>
      </c>
      <c r="J5" s="115" t="s">
        <v>45</v>
      </c>
      <c r="K5" s="116">
        <v>38000</v>
      </c>
      <c r="L5" s="116">
        <v>58000</v>
      </c>
      <c r="M5" s="116" t="s">
        <v>40</v>
      </c>
      <c r="N5" s="64" t="s">
        <v>1342</v>
      </c>
      <c r="O5" s="117" t="s">
        <v>1343</v>
      </c>
    </row>
    <row r="6" s="95" customFormat="1" ht="40" customHeight="1" spans="1:15">
      <c r="A6" s="46">
        <v>3</v>
      </c>
      <c r="B6" s="106"/>
      <c r="C6" s="46" t="str">
        <f>_xlfn.DISPIMG("ID_2D5765BFE8F6423B87A32A48EFC80740",1)</f>
        <v>=DISPIMG("ID_2D5765BFE8F6423B87A32A48EFC80740",1)</v>
      </c>
      <c r="D6" s="107" t="s">
        <v>1016</v>
      </c>
      <c r="E6" s="46">
        <v>264471123</v>
      </c>
      <c r="F6" s="107" t="s">
        <v>1344</v>
      </c>
      <c r="G6" s="107" t="s">
        <v>1345</v>
      </c>
      <c r="H6" s="46">
        <v>22.5</v>
      </c>
      <c r="I6" s="46">
        <v>116</v>
      </c>
      <c r="J6" s="108" t="s">
        <v>787</v>
      </c>
      <c r="K6" s="109">
        <v>20000</v>
      </c>
      <c r="L6" s="109">
        <v>30000</v>
      </c>
      <c r="M6" s="110" t="s">
        <v>1346</v>
      </c>
      <c r="N6" s="111" t="s">
        <v>1347</v>
      </c>
      <c r="O6" s="112" t="s">
        <v>1348</v>
      </c>
    </row>
    <row r="7" s="95" customFormat="1" ht="40" customHeight="1" spans="1:15">
      <c r="A7" s="40">
        <v>4</v>
      </c>
      <c r="B7" s="113"/>
      <c r="C7" s="40" t="str">
        <f>_xlfn.DISPIMG("ID_A901C43D8D0844FA863B63A9A0F6D4AF",1)</f>
        <v>=DISPIMG("ID_A901C43D8D0844FA863B63A9A0F6D4AF",1)</v>
      </c>
      <c r="D7" s="40" t="s">
        <v>1349</v>
      </c>
      <c r="E7" s="40">
        <v>800230666</v>
      </c>
      <c r="F7" s="114" t="s">
        <v>1350</v>
      </c>
      <c r="G7" s="114" t="s">
        <v>1351</v>
      </c>
      <c r="H7" s="40">
        <v>3.1</v>
      </c>
      <c r="I7" s="40">
        <v>30.1</v>
      </c>
      <c r="J7" s="115" t="s">
        <v>606</v>
      </c>
      <c r="K7" s="116">
        <v>4200</v>
      </c>
      <c r="L7" s="116">
        <v>6800</v>
      </c>
      <c r="M7" s="116" t="s">
        <v>1352</v>
      </c>
      <c r="N7" s="64" t="s">
        <v>1353</v>
      </c>
      <c r="O7" s="117" t="s">
        <v>1354</v>
      </c>
    </row>
    <row r="8" s="95" customFormat="1" ht="40" customHeight="1" spans="1:15">
      <c r="A8" s="46">
        <v>5</v>
      </c>
      <c r="B8" s="106"/>
      <c r="C8" s="46" t="str">
        <f>_xlfn.DISPIMG("ID_4A55488DBDAD49579EB233663CB69660",1)</f>
        <v>=DISPIMG("ID_4A55488DBDAD49579EB233663CB69660",1)</v>
      </c>
      <c r="D8" s="46" t="s">
        <v>1355</v>
      </c>
      <c r="E8" s="46">
        <v>268654630</v>
      </c>
      <c r="F8" s="107" t="s">
        <v>1356</v>
      </c>
      <c r="G8" s="107" t="s">
        <v>1357</v>
      </c>
      <c r="H8" s="46">
        <v>20.9</v>
      </c>
      <c r="I8" s="46">
        <v>180.5</v>
      </c>
      <c r="J8" s="108" t="s">
        <v>45</v>
      </c>
      <c r="K8" s="109">
        <v>15000</v>
      </c>
      <c r="L8" s="109">
        <v>22000</v>
      </c>
      <c r="M8" s="110" t="s">
        <v>1358</v>
      </c>
      <c r="N8" s="111" t="s">
        <v>1359</v>
      </c>
      <c r="O8" s="112" t="s">
        <v>1360</v>
      </c>
    </row>
    <row r="9" s="95" customFormat="1" ht="40" customHeight="1" spans="1:15">
      <c r="A9" s="40">
        <v>6</v>
      </c>
      <c r="B9" s="113"/>
      <c r="C9" t="str">
        <f>_xlfn.DISPIMG("ID_86D753D5DE2B472CAA26ACB3512EADAF",1)</f>
        <v>=DISPIMG("ID_86D753D5DE2B472CAA26ACB3512EADAF",1)</v>
      </c>
      <c r="D9" s="40" t="s">
        <v>179</v>
      </c>
      <c r="E9" s="40">
        <v>116774378</v>
      </c>
      <c r="F9" s="114" t="s">
        <v>1361</v>
      </c>
      <c r="G9" s="114" t="s">
        <v>1362</v>
      </c>
      <c r="H9" s="40">
        <v>14.8</v>
      </c>
      <c r="I9" s="40">
        <v>117.1</v>
      </c>
      <c r="J9" s="115" t="s">
        <v>45</v>
      </c>
      <c r="K9" s="116">
        <v>20000</v>
      </c>
      <c r="L9" s="116">
        <v>35000</v>
      </c>
      <c r="M9" s="116" t="s">
        <v>40</v>
      </c>
      <c r="N9" s="64" t="s">
        <v>1363</v>
      </c>
      <c r="O9" s="117" t="s">
        <v>1364</v>
      </c>
    </row>
    <row r="10" s="95" customFormat="1" ht="40" customHeight="1" spans="1:15">
      <c r="A10" s="46">
        <v>7</v>
      </c>
      <c r="B10" s="106"/>
      <c r="C10" s="46" t="str">
        <f>_xlfn.DISPIMG("ID_D14B63E281A8495D87B7770FA7472B19",1)</f>
        <v>=DISPIMG("ID_D14B63E281A8495D87B7770FA7472B19",1)</v>
      </c>
      <c r="D10" s="46" t="s">
        <v>1365</v>
      </c>
      <c r="E10" s="46" t="s">
        <v>1366</v>
      </c>
      <c r="F10" s="107" t="s">
        <v>1367</v>
      </c>
      <c r="G10" s="107" t="s">
        <v>1368</v>
      </c>
      <c r="H10" s="46">
        <v>47.5</v>
      </c>
      <c r="I10" s="46">
        <v>90.8</v>
      </c>
      <c r="J10" s="108" t="s">
        <v>945</v>
      </c>
      <c r="K10" s="109">
        <v>35000</v>
      </c>
      <c r="L10" s="109">
        <v>39000</v>
      </c>
      <c r="M10" s="110" t="s">
        <v>40</v>
      </c>
      <c r="N10" s="111" t="s">
        <v>1369</v>
      </c>
      <c r="O10" s="112" t="s">
        <v>1370</v>
      </c>
    </row>
    <row r="11" s="94" customFormat="1" ht="25" customHeight="1" spans="1:15">
      <c r="A11" s="118"/>
      <c r="B11" s="118"/>
      <c r="C11" s="118"/>
      <c r="D11" s="118"/>
      <c r="E11" s="118"/>
      <c r="F11" s="118"/>
      <c r="G11" s="119" t="s">
        <v>1371</v>
      </c>
      <c r="H11" s="120"/>
      <c r="I11" s="120"/>
      <c r="J11" s="118"/>
      <c r="K11" s="118"/>
      <c r="L11" s="118"/>
      <c r="M11" s="118"/>
      <c r="N11" s="118"/>
      <c r="O11" s="118"/>
    </row>
    <row r="12" s="95" customFormat="1" ht="40" customHeight="1" spans="1:15">
      <c r="A12" s="46">
        <v>8</v>
      </c>
      <c r="B12" s="106"/>
      <c r="C12" s="46" t="str">
        <f>_xlfn.DISPIMG("ID_612B44CB1D6848CBB0234577403521E6",1)</f>
        <v>=DISPIMG("ID_612B44CB1D6848CBB0234577403521E6",1)</v>
      </c>
      <c r="D12" s="46" t="s">
        <v>821</v>
      </c>
      <c r="E12" s="107" t="s">
        <v>1372</v>
      </c>
      <c r="F12" s="107" t="s">
        <v>1373</v>
      </c>
      <c r="G12" s="46" t="s">
        <v>1374</v>
      </c>
      <c r="H12" s="46">
        <v>19.8</v>
      </c>
      <c r="I12" s="46">
        <v>441</v>
      </c>
      <c r="J12" s="108" t="s">
        <v>45</v>
      </c>
      <c r="K12" s="109">
        <v>25000</v>
      </c>
      <c r="L12" s="109">
        <v>35000</v>
      </c>
      <c r="M12" s="109" t="s">
        <v>40</v>
      </c>
      <c r="N12" s="111" t="s">
        <v>1375</v>
      </c>
      <c r="O12" s="112" t="s">
        <v>1376</v>
      </c>
    </row>
    <row r="13" s="95" customFormat="1" ht="40" customHeight="1" spans="1:15">
      <c r="A13" s="17">
        <v>9</v>
      </c>
      <c r="B13" s="121"/>
      <c r="C13" s="22" t="str">
        <f>_xlfn.DISPIMG("ID_30AC8A19BCA44ACEB2336397680E6576",1)</f>
        <v>=DISPIMG("ID_30AC8A19BCA44ACEB2336397680E6576",1)</v>
      </c>
      <c r="D13" s="17" t="s">
        <v>946</v>
      </c>
      <c r="E13" s="40">
        <v>1044861323</v>
      </c>
      <c r="F13" s="114" t="s">
        <v>1377</v>
      </c>
      <c r="G13" s="114" t="s">
        <v>1378</v>
      </c>
      <c r="H13" s="40">
        <v>7.9</v>
      </c>
      <c r="I13" s="40">
        <v>64.3</v>
      </c>
      <c r="J13" s="115" t="s">
        <v>45</v>
      </c>
      <c r="K13" s="116">
        <v>12000</v>
      </c>
      <c r="L13" s="116">
        <v>16000</v>
      </c>
      <c r="M13" s="122" t="s">
        <v>40</v>
      </c>
      <c r="N13" s="123" t="s">
        <v>1379</v>
      </c>
      <c r="O13" s="123" t="s">
        <v>1380</v>
      </c>
    </row>
    <row r="14" s="95" customFormat="1" ht="40" customHeight="1" spans="1:15">
      <c r="A14" s="46">
        <v>10</v>
      </c>
      <c r="B14" s="106"/>
      <c r="C14" s="46" t="str">
        <f>_xlfn.DISPIMG("ID_BDFF3AF9C2294AA489B20ABC23BFEC80",1)</f>
        <v>=DISPIMG("ID_BDFF3AF9C2294AA489B20ABC23BFEC80",1)</v>
      </c>
      <c r="D14" s="46" t="s">
        <v>246</v>
      </c>
      <c r="E14" s="107" t="s">
        <v>1381</v>
      </c>
      <c r="F14" s="107" t="s">
        <v>1382</v>
      </c>
      <c r="G14" s="46" t="s">
        <v>1383</v>
      </c>
      <c r="H14" s="46">
        <v>190.9</v>
      </c>
      <c r="I14" s="46">
        <v>1558.1</v>
      </c>
      <c r="J14" s="108" t="s">
        <v>45</v>
      </c>
      <c r="K14" s="109">
        <v>35000</v>
      </c>
      <c r="L14" s="109">
        <v>60000</v>
      </c>
      <c r="M14" s="109" t="s">
        <v>1384</v>
      </c>
      <c r="N14" s="111" t="s">
        <v>1385</v>
      </c>
      <c r="O14" s="112" t="s">
        <v>1386</v>
      </c>
    </row>
    <row r="15" s="95" customFormat="1" ht="40" customHeight="1" spans="1:15">
      <c r="A15" s="17">
        <v>11</v>
      </c>
      <c r="B15" s="121"/>
      <c r="C15" s="22" t="str">
        <f>_xlfn.DISPIMG("ID_9D4BCA200A3A4EB8A0D73854126E75BE",1)</f>
        <v>=DISPIMG("ID_9D4BCA200A3A4EB8A0D73854126E75BE",1)</v>
      </c>
      <c r="D15" s="17" t="s">
        <v>788</v>
      </c>
      <c r="E15" s="40">
        <v>5021647152</v>
      </c>
      <c r="F15" s="114" t="s">
        <v>1387</v>
      </c>
      <c r="G15" s="114" t="s">
        <v>1388</v>
      </c>
      <c r="H15" s="40">
        <v>201</v>
      </c>
      <c r="I15" s="40">
        <v>3609.8</v>
      </c>
      <c r="J15" s="115" t="s">
        <v>45</v>
      </c>
      <c r="K15" s="116">
        <v>30000</v>
      </c>
      <c r="L15" s="116">
        <v>110000</v>
      </c>
      <c r="M15" s="122" t="s">
        <v>40</v>
      </c>
      <c r="N15" s="123" t="s">
        <v>1389</v>
      </c>
      <c r="O15" s="123" t="s">
        <v>1390</v>
      </c>
    </row>
    <row r="16" s="95" customFormat="1" ht="40" customHeight="1" spans="1:15">
      <c r="A16" s="46">
        <v>12</v>
      </c>
      <c r="B16" s="106"/>
      <c r="C16" s="46" t="str">
        <f>_xlfn.DISPIMG("ID_1D9773756B9F4E2497E24C113846755A",1)</f>
        <v>=DISPIMG("ID_1D9773756B9F4E2497E24C113846755A",1)</v>
      </c>
      <c r="D16" s="46" t="s">
        <v>315</v>
      </c>
      <c r="E16" s="107">
        <v>9498775645</v>
      </c>
      <c r="F16" s="107" t="s">
        <v>1391</v>
      </c>
      <c r="G16" s="46" t="s">
        <v>1392</v>
      </c>
      <c r="H16" s="46">
        <v>97.2</v>
      </c>
      <c r="I16" s="46">
        <v>1324.8</v>
      </c>
      <c r="J16" s="108" t="s">
        <v>45</v>
      </c>
      <c r="K16" s="109">
        <v>30000</v>
      </c>
      <c r="L16" s="109">
        <v>48000</v>
      </c>
      <c r="M16" s="109" t="s">
        <v>1393</v>
      </c>
      <c r="N16" s="111" t="s">
        <v>1394</v>
      </c>
      <c r="O16" s="112" t="s">
        <v>1395</v>
      </c>
    </row>
    <row r="17" s="95" customFormat="1" ht="40" customHeight="1" spans="1:15">
      <c r="A17" s="17">
        <v>13</v>
      </c>
      <c r="B17" s="121"/>
      <c r="C17" s="22" t="str">
        <f>_xlfn.DISPIMG("ID_5767A78C5061489A86E64A0AA201684F",1)</f>
        <v>=DISPIMG("ID_5767A78C5061489A86E64A0AA201684F",1)</v>
      </c>
      <c r="D17" s="17" t="s">
        <v>1396</v>
      </c>
      <c r="E17" s="40">
        <v>734382264</v>
      </c>
      <c r="F17" s="114" t="s">
        <v>1397</v>
      </c>
      <c r="G17" s="114" t="s">
        <v>1398</v>
      </c>
      <c r="H17" s="40">
        <v>47.4</v>
      </c>
      <c r="I17" s="40">
        <v>376.8</v>
      </c>
      <c r="J17" s="115" t="s">
        <v>45</v>
      </c>
      <c r="K17" s="116">
        <v>25000</v>
      </c>
      <c r="L17" s="116">
        <v>45000</v>
      </c>
      <c r="M17" s="122" t="s">
        <v>40</v>
      </c>
      <c r="N17" s="123" t="s">
        <v>1399</v>
      </c>
      <c r="O17" s="123" t="s">
        <v>1400</v>
      </c>
    </row>
    <row r="18" s="95" customFormat="1" ht="40" customHeight="1" spans="1:15">
      <c r="A18" s="46">
        <v>14</v>
      </c>
      <c r="B18" s="106"/>
      <c r="C18" s="46" t="str">
        <f>_xlfn.DISPIMG("ID_1F6039D1EC9A4ED1B5C8363E408EB7BE",1)</f>
        <v>=DISPIMG("ID_1F6039D1EC9A4ED1B5C8363E408EB7BE",1)</v>
      </c>
      <c r="D18" s="46" t="s">
        <v>257</v>
      </c>
      <c r="E18" s="107">
        <v>1036271988</v>
      </c>
      <c r="F18" s="107" t="s">
        <v>1401</v>
      </c>
      <c r="G18" s="46" t="s">
        <v>1402</v>
      </c>
      <c r="H18" s="46">
        <v>95.2</v>
      </c>
      <c r="I18" s="46">
        <v>686.9</v>
      </c>
      <c r="J18" s="108" t="s">
        <v>45</v>
      </c>
      <c r="K18" s="109">
        <v>30000</v>
      </c>
      <c r="L18" s="109">
        <v>60000</v>
      </c>
      <c r="M18" s="109" t="s">
        <v>1393</v>
      </c>
      <c r="N18" s="111" t="s">
        <v>1403</v>
      </c>
      <c r="O18" s="112" t="s">
        <v>1404</v>
      </c>
    </row>
    <row r="19" s="95" customFormat="1" ht="40" customHeight="1" spans="1:15">
      <c r="A19" s="17">
        <v>15</v>
      </c>
      <c r="B19" s="121"/>
      <c r="C19" s="22" t="str">
        <f>_xlfn.DISPIMG("ID_8565464ED9FB4C05BB0779C94622A42F",1)</f>
        <v>=DISPIMG("ID_8565464ED9FB4C05BB0779C94622A42F",1)</v>
      </c>
      <c r="D19" s="17" t="s">
        <v>1405</v>
      </c>
      <c r="E19" s="40">
        <v>2683818208</v>
      </c>
      <c r="F19" s="114" t="s">
        <v>1406</v>
      </c>
      <c r="G19" s="114" t="s">
        <v>1407</v>
      </c>
      <c r="H19" s="40">
        <v>15.4</v>
      </c>
      <c r="I19" s="40">
        <v>116.7</v>
      </c>
      <c r="J19" s="115" t="s">
        <v>1408</v>
      </c>
      <c r="K19" s="116">
        <v>9944</v>
      </c>
      <c r="L19" s="116">
        <v>15000</v>
      </c>
      <c r="M19" s="122" t="s">
        <v>40</v>
      </c>
      <c r="N19" s="123" t="s">
        <v>1409</v>
      </c>
      <c r="O19" s="123" t="s">
        <v>1410</v>
      </c>
    </row>
    <row r="20" s="95" customFormat="1" ht="40" customHeight="1" spans="1:15">
      <c r="A20" s="46">
        <v>16</v>
      </c>
      <c r="B20" s="106"/>
      <c r="C20" s="46" t="str">
        <f>_xlfn.DISPIMG("ID_28AF013E9BC74A9BB281DFE6F191EB91",1)</f>
        <v>=DISPIMG("ID_28AF013E9BC74A9BB281DFE6F191EB91",1)</v>
      </c>
      <c r="D20" s="46" t="s">
        <v>1411</v>
      </c>
      <c r="E20" s="107">
        <v>1054889287</v>
      </c>
      <c r="F20" s="107" t="s">
        <v>1412</v>
      </c>
      <c r="G20" s="46" t="s">
        <v>1413</v>
      </c>
      <c r="H20" s="46">
        <v>15.3</v>
      </c>
      <c r="I20" s="46">
        <v>96.9</v>
      </c>
      <c r="J20" s="108" t="s">
        <v>45</v>
      </c>
      <c r="K20" s="109">
        <v>20000</v>
      </c>
      <c r="L20" s="109">
        <v>30000</v>
      </c>
      <c r="M20" s="109" t="s">
        <v>40</v>
      </c>
      <c r="N20" s="111" t="s">
        <v>1414</v>
      </c>
      <c r="O20" s="112" t="s">
        <v>1415</v>
      </c>
    </row>
    <row r="21" s="95" customFormat="1" ht="40" customHeight="1" spans="1:15">
      <c r="A21" s="40">
        <v>17</v>
      </c>
      <c r="B21" s="40"/>
      <c r="C21" s="60" t="str">
        <f>_xlfn.DISPIMG("ID_FA8F7ABC3FD04308948A3D7BFA18D1AC",1)</f>
        <v>=DISPIMG("ID_FA8F7ABC3FD04308948A3D7BFA18D1AC",1)</v>
      </c>
      <c r="D21" s="40" t="s">
        <v>278</v>
      </c>
      <c r="E21" s="40">
        <v>9542888505</v>
      </c>
      <c r="F21" s="114" t="s">
        <v>1416</v>
      </c>
      <c r="G21" s="114" t="s">
        <v>1417</v>
      </c>
      <c r="H21" s="40">
        <v>6.5</v>
      </c>
      <c r="I21" s="40">
        <v>119.5</v>
      </c>
      <c r="J21" s="115" t="s">
        <v>45</v>
      </c>
      <c r="K21" s="116">
        <v>6000</v>
      </c>
      <c r="L21" s="116">
        <v>10000</v>
      </c>
      <c r="M21" s="122" t="s">
        <v>40</v>
      </c>
      <c r="N21" s="123" t="s">
        <v>1418</v>
      </c>
      <c r="O21" s="117" t="s">
        <v>1419</v>
      </c>
    </row>
    <row r="22" s="95" customFormat="1" ht="40" customHeight="1" spans="1:15">
      <c r="A22" s="46">
        <v>18</v>
      </c>
      <c r="B22" s="106"/>
      <c r="C22" s="46" t="str">
        <f>_xlfn.DISPIMG("ID_9F98F5572FA143D1A3AA0C7A4A20E102",1)</f>
        <v>=DISPIMG("ID_9F98F5572FA143D1A3AA0C7A4A20E102",1)</v>
      </c>
      <c r="D22" s="46" t="s">
        <v>267</v>
      </c>
      <c r="E22" s="107">
        <v>749565553</v>
      </c>
      <c r="F22" s="107" t="s">
        <v>1420</v>
      </c>
      <c r="G22" s="46" t="s">
        <v>1421</v>
      </c>
      <c r="H22" s="46">
        <v>38.1</v>
      </c>
      <c r="I22" s="46">
        <v>305.5</v>
      </c>
      <c r="J22" s="108" t="s">
        <v>45</v>
      </c>
      <c r="K22" s="109">
        <v>50000</v>
      </c>
      <c r="L22" s="109">
        <v>88000</v>
      </c>
      <c r="M22" s="109" t="s">
        <v>1422</v>
      </c>
      <c r="N22" s="111" t="s">
        <v>1423</v>
      </c>
      <c r="O22" s="112" t="s">
        <v>1424</v>
      </c>
    </row>
    <row r="23" s="95" customFormat="1" ht="40" customHeight="1" spans="1:15">
      <c r="A23" s="40">
        <v>19</v>
      </c>
      <c r="B23" s="40"/>
      <c r="C23" s="60" t="str">
        <f>_xlfn.DISPIMG("ID_C6E0F729476145B1B33570844F7AEF28",1)</f>
        <v>=DISPIMG("ID_C6E0F729476145B1B33570844F7AEF28",1)</v>
      </c>
      <c r="D23" s="40" t="s">
        <v>543</v>
      </c>
      <c r="E23" s="40">
        <v>555577854</v>
      </c>
      <c r="F23" s="114" t="s">
        <v>1425</v>
      </c>
      <c r="G23" s="114" t="s">
        <v>1426</v>
      </c>
      <c r="H23" s="40">
        <v>55.9</v>
      </c>
      <c r="I23" s="40">
        <v>565</v>
      </c>
      <c r="J23" s="115" t="s">
        <v>45</v>
      </c>
      <c r="K23" s="116">
        <v>30000</v>
      </c>
      <c r="L23" s="116">
        <v>50000</v>
      </c>
      <c r="M23" s="122" t="s">
        <v>40</v>
      </c>
      <c r="N23" s="123" t="s">
        <v>1427</v>
      </c>
      <c r="O23" s="117" t="s">
        <v>1428</v>
      </c>
    </row>
    <row r="24" s="95" customFormat="1" ht="40" customHeight="1" spans="1:15">
      <c r="A24" s="46">
        <v>20</v>
      </c>
      <c r="B24" s="106"/>
      <c r="C24" s="46" t="str">
        <f>_xlfn.DISPIMG("ID_45364279DDF94FE1A6F8998A67BC42D7",1)</f>
        <v>=DISPIMG("ID_45364279DDF94FE1A6F8998A67BC42D7",1)</v>
      </c>
      <c r="D24" s="46" t="s">
        <v>1429</v>
      </c>
      <c r="E24" s="107">
        <v>979988831</v>
      </c>
      <c r="F24" s="107" t="s">
        <v>1430</v>
      </c>
      <c r="G24" s="46" t="s">
        <v>1431</v>
      </c>
      <c r="H24" s="46">
        <v>20.8</v>
      </c>
      <c r="I24" s="46">
        <v>237.4</v>
      </c>
      <c r="J24" s="108" t="s">
        <v>45</v>
      </c>
      <c r="K24" s="109">
        <v>20000</v>
      </c>
      <c r="L24" s="109">
        <v>25000</v>
      </c>
      <c r="M24" s="109" t="s">
        <v>40</v>
      </c>
      <c r="N24" s="111" t="s">
        <v>1432</v>
      </c>
      <c r="O24" s="112" t="s">
        <v>1433</v>
      </c>
    </row>
    <row r="25" s="95" customFormat="1" ht="40" customHeight="1" spans="1:15">
      <c r="A25" s="40">
        <v>21</v>
      </c>
      <c r="B25" s="40"/>
      <c r="C25" s="60" t="str">
        <f>_xlfn.DISPIMG("ID_84004700788346389F1F6AFA69A290F1",1)</f>
        <v>=DISPIMG("ID_84004700788346389F1F6AFA69A290F1",1)</v>
      </c>
      <c r="D25" s="40" t="s">
        <v>1434</v>
      </c>
      <c r="E25" s="40">
        <v>802736996</v>
      </c>
      <c r="F25" s="114" t="s">
        <v>1435</v>
      </c>
      <c r="G25" s="114" t="s">
        <v>1436</v>
      </c>
      <c r="H25" s="40">
        <v>21.6</v>
      </c>
      <c r="I25" s="40">
        <v>310.3</v>
      </c>
      <c r="J25" s="115" t="s">
        <v>45</v>
      </c>
      <c r="K25" s="116">
        <v>30000</v>
      </c>
      <c r="L25" s="116">
        <v>45000</v>
      </c>
      <c r="M25" s="122" t="s">
        <v>40</v>
      </c>
      <c r="N25" s="123" t="s">
        <v>1437</v>
      </c>
      <c r="O25" s="117" t="s">
        <v>1438</v>
      </c>
    </row>
    <row r="26" s="95" customFormat="1" ht="40" customHeight="1" spans="1:15">
      <c r="A26" s="46">
        <v>22</v>
      </c>
      <c r="B26" s="106"/>
      <c r="C26" s="46" t="str">
        <f>_xlfn.DISPIMG("ID_F8CCD902B84F41B2811EBD1982EFEAAB",1)</f>
        <v>=DISPIMG("ID_F8CCD902B84F41B2811EBD1982EFEAAB",1)</v>
      </c>
      <c r="D26" s="46" t="s">
        <v>640</v>
      </c>
      <c r="E26" s="107">
        <v>740720709</v>
      </c>
      <c r="F26" s="107" t="s">
        <v>1439</v>
      </c>
      <c r="G26" s="46" t="s">
        <v>1440</v>
      </c>
      <c r="H26" s="46">
        <v>21.9</v>
      </c>
      <c r="I26" s="46">
        <v>135.4</v>
      </c>
      <c r="J26" s="108" t="s">
        <v>45</v>
      </c>
      <c r="K26" s="109">
        <v>28000</v>
      </c>
      <c r="L26" s="109">
        <v>45000</v>
      </c>
      <c r="M26" s="109" t="s">
        <v>40</v>
      </c>
      <c r="N26" s="111" t="s">
        <v>1441</v>
      </c>
      <c r="O26" s="112" t="s">
        <v>1442</v>
      </c>
    </row>
    <row r="27" s="95" customFormat="1" ht="40" customHeight="1" spans="1:15">
      <c r="A27" s="40">
        <v>23</v>
      </c>
      <c r="B27" s="40"/>
      <c r="C27" s="60" t="str">
        <f>_xlfn.DISPIMG("ID_0D2371F7C1564FCCBC9A2780976F2A2F",1)</f>
        <v>=DISPIMG("ID_0D2371F7C1564FCCBC9A2780976F2A2F",1)</v>
      </c>
      <c r="D27" s="40" t="s">
        <v>1443</v>
      </c>
      <c r="E27" s="40">
        <v>241012004</v>
      </c>
      <c r="F27" s="114" t="s">
        <v>1444</v>
      </c>
      <c r="G27" s="114" t="s">
        <v>1445</v>
      </c>
      <c r="H27" s="40">
        <v>15.5</v>
      </c>
      <c r="I27" s="40">
        <v>79.4</v>
      </c>
      <c r="J27" s="115" t="s">
        <v>45</v>
      </c>
      <c r="K27" s="116">
        <v>60000</v>
      </c>
      <c r="L27" s="116">
        <v>70000</v>
      </c>
      <c r="M27" s="122" t="s">
        <v>40</v>
      </c>
      <c r="N27" s="123" t="s">
        <v>1446</v>
      </c>
      <c r="O27" s="117" t="s">
        <v>1447</v>
      </c>
    </row>
    <row r="28" s="95" customFormat="1" ht="40" customHeight="1" spans="1:15">
      <c r="A28" s="46">
        <v>24</v>
      </c>
      <c r="B28" s="106"/>
      <c r="C28" s="46" t="str">
        <f>_xlfn.DISPIMG("ID_C63D8BEF69054299BD99EFFB82F2FA85",1)</f>
        <v>=DISPIMG("ID_C63D8BEF69054299BD99EFFB82F2FA85",1)</v>
      </c>
      <c r="D28" s="46" t="s">
        <v>1448</v>
      </c>
      <c r="E28" s="107" t="s">
        <v>1449</v>
      </c>
      <c r="F28" s="107" t="s">
        <v>1450</v>
      </c>
      <c r="G28" s="46" t="s">
        <v>1451</v>
      </c>
      <c r="H28" s="46">
        <v>11.3</v>
      </c>
      <c r="I28" s="46">
        <v>41.6</v>
      </c>
      <c r="J28" s="108" t="s">
        <v>854</v>
      </c>
      <c r="K28" s="109">
        <v>25000</v>
      </c>
      <c r="L28" s="109">
        <v>40000</v>
      </c>
      <c r="M28" s="109" t="s">
        <v>40</v>
      </c>
      <c r="N28" s="111" t="s">
        <v>1452</v>
      </c>
      <c r="O28" s="112" t="s">
        <v>1453</v>
      </c>
    </row>
    <row r="29" s="95" customFormat="1" ht="40" customHeight="1" spans="1:15">
      <c r="A29" s="40">
        <v>25</v>
      </c>
      <c r="B29" s="40"/>
      <c r="C29" s="60" t="str">
        <f>_xlfn.DISPIMG("ID_8800038899AD4ADFA16C59953E0E4EFB",1)</f>
        <v>=DISPIMG("ID_8800038899AD4ADFA16C59953E0E4EFB",1)</v>
      </c>
      <c r="D29" s="40" t="s">
        <v>914</v>
      </c>
      <c r="E29" s="40">
        <v>2285022473</v>
      </c>
      <c r="F29" s="114" t="s">
        <v>1454</v>
      </c>
      <c r="G29" s="114" t="s">
        <v>1417</v>
      </c>
      <c r="H29" s="40">
        <v>8.4</v>
      </c>
      <c r="I29" s="40">
        <v>233.4</v>
      </c>
      <c r="J29" s="115" t="s">
        <v>135</v>
      </c>
      <c r="K29" s="116">
        <v>10000</v>
      </c>
      <c r="L29" s="116">
        <v>15000</v>
      </c>
      <c r="M29" s="122" t="s">
        <v>40</v>
      </c>
      <c r="N29" s="123" t="s">
        <v>1455</v>
      </c>
      <c r="O29" s="117" t="s">
        <v>1456</v>
      </c>
    </row>
    <row r="30" s="95" customFormat="1" ht="40" customHeight="1" spans="1:15">
      <c r="A30" s="46">
        <v>26</v>
      </c>
      <c r="B30" s="106"/>
      <c r="C30" s="46" t="str">
        <f>_xlfn.DISPIMG("ID_BD7D2AE1FEEA4B539B8A02E17754BB63",1)</f>
        <v>=DISPIMG("ID_BD7D2AE1FEEA4B539B8A02E17754BB63",1)</v>
      </c>
      <c r="D30" s="46" t="s">
        <v>702</v>
      </c>
      <c r="E30" s="107" t="s">
        <v>1457</v>
      </c>
      <c r="F30" s="107" t="s">
        <v>1458</v>
      </c>
      <c r="G30" s="46" t="s">
        <v>1459</v>
      </c>
      <c r="H30" s="46">
        <v>6</v>
      </c>
      <c r="I30" s="46">
        <v>50.7</v>
      </c>
      <c r="J30" s="108" t="s">
        <v>45</v>
      </c>
      <c r="K30" s="109">
        <v>8000</v>
      </c>
      <c r="L30" s="109">
        <v>12000</v>
      </c>
      <c r="M30" s="109" t="s">
        <v>40</v>
      </c>
      <c r="N30" s="111" t="s">
        <v>1460</v>
      </c>
      <c r="O30" s="112" t="s">
        <v>1461</v>
      </c>
    </row>
    <row r="31" s="95" customFormat="1" ht="40" customHeight="1" spans="1:15">
      <c r="A31" s="40">
        <v>27</v>
      </c>
      <c r="B31" s="121"/>
      <c r="C31" t="str">
        <f>_xlfn.DISPIMG("ID_BF95F8059F5643C4B210BE2FB3FC7D2A",1)</f>
        <v>=DISPIMG("ID_BF95F8059F5643C4B210BE2FB3FC7D2A",1)</v>
      </c>
      <c r="D31" s="40" t="s">
        <v>977</v>
      </c>
      <c r="E31" s="40" t="s">
        <v>1462</v>
      </c>
      <c r="F31" s="114"/>
      <c r="G31" s="114" t="s">
        <v>1463</v>
      </c>
      <c r="H31" s="40">
        <v>0.72</v>
      </c>
      <c r="I31" s="40">
        <v>3.9</v>
      </c>
      <c r="J31" s="115" t="s">
        <v>45</v>
      </c>
      <c r="K31" s="116">
        <v>3000</v>
      </c>
      <c r="L31" s="116">
        <v>5000</v>
      </c>
      <c r="M31" s="122" t="s">
        <v>40</v>
      </c>
      <c r="N31" s="122" t="s">
        <v>1464</v>
      </c>
      <c r="O31" s="117" t="s">
        <v>40</v>
      </c>
    </row>
    <row r="32" s="95" customFormat="1" ht="40" customHeight="1" spans="1:15">
      <c r="A32" s="46">
        <v>28</v>
      </c>
      <c r="B32" s="106"/>
      <c r="C32" s="46" t="str">
        <f>_xlfn.DISPIMG("ID_EC1AAC235172433B86CDEDC2691E72E2",1)</f>
        <v>=DISPIMG("ID_EC1AAC235172433B86CDEDC2691E72E2",1)</v>
      </c>
      <c r="D32" s="107" t="s">
        <v>1465</v>
      </c>
      <c r="E32" s="107">
        <v>156892753</v>
      </c>
      <c r="F32" s="107" t="s">
        <v>1466</v>
      </c>
      <c r="G32" s="46" t="s">
        <v>1467</v>
      </c>
      <c r="H32" s="46">
        <v>54.9</v>
      </c>
      <c r="I32" s="46">
        <v>638.7</v>
      </c>
      <c r="J32" s="108" t="s">
        <v>1211</v>
      </c>
      <c r="K32" s="109">
        <v>20000</v>
      </c>
      <c r="L32" s="109">
        <v>35000</v>
      </c>
      <c r="M32" s="109" t="s">
        <v>40</v>
      </c>
      <c r="N32" s="111" t="s">
        <v>1468</v>
      </c>
      <c r="O32" s="112" t="s">
        <v>1469</v>
      </c>
    </row>
    <row r="33" s="95" customFormat="1" ht="40" customHeight="1" spans="1:15">
      <c r="A33" s="40">
        <v>29</v>
      </c>
      <c r="B33" s="40"/>
      <c r="C33" s="60" t="str">
        <f>_xlfn.DISPIMG("ID_183D2C17EBC3467F9F312E51A85A6350",1)</f>
        <v>=DISPIMG("ID_183D2C17EBC3467F9F312E51A85A6350",1)</v>
      </c>
      <c r="D33" s="40" t="s">
        <v>1470</v>
      </c>
      <c r="E33" s="40">
        <v>1057334689</v>
      </c>
      <c r="F33" s="114" t="s">
        <v>1471</v>
      </c>
      <c r="G33" s="114" t="s">
        <v>1472</v>
      </c>
      <c r="H33" s="40">
        <v>77.1</v>
      </c>
      <c r="I33" s="40">
        <v>395.1</v>
      </c>
      <c r="J33" s="115" t="s">
        <v>45</v>
      </c>
      <c r="K33" s="116">
        <v>15000</v>
      </c>
      <c r="L33" s="116">
        <v>43000</v>
      </c>
      <c r="M33" s="122" t="s">
        <v>40</v>
      </c>
      <c r="N33" s="123" t="s">
        <v>1473</v>
      </c>
      <c r="O33" s="117" t="s">
        <v>1474</v>
      </c>
    </row>
    <row r="34" s="94" customFormat="1" ht="25" customHeight="1" spans="1:15">
      <c r="A34" s="124"/>
      <c r="B34" s="124"/>
      <c r="C34" s="124"/>
      <c r="D34" s="124"/>
      <c r="E34" s="124"/>
      <c r="F34" s="124"/>
      <c r="G34" s="125" t="s">
        <v>1475</v>
      </c>
      <c r="H34" s="126"/>
      <c r="I34" s="126"/>
      <c r="J34" s="124"/>
      <c r="K34" s="124"/>
      <c r="L34" s="124"/>
      <c r="M34" s="124"/>
      <c r="N34" s="124"/>
      <c r="O34" s="124"/>
    </row>
    <row r="35" s="95" customFormat="1" ht="40" customHeight="1" spans="1:15">
      <c r="A35" s="40">
        <v>30</v>
      </c>
      <c r="B35" s="113"/>
      <c r="C35" s="60" t="str">
        <f>_xlfn.DISPIMG("ID_40729C90AA504E43B7F3045BA84F64C8",1)</f>
        <v>=DISPIMG("ID_40729C90AA504E43B7F3045BA84F64C8",1)</v>
      </c>
      <c r="D35" s="40" t="s">
        <v>1156</v>
      </c>
      <c r="E35" s="40">
        <v>884990145</v>
      </c>
      <c r="F35" s="114" t="s">
        <v>1476</v>
      </c>
      <c r="G35" s="114" t="s">
        <v>1477</v>
      </c>
      <c r="H35" s="40">
        <v>130.6</v>
      </c>
      <c r="I35" s="40">
        <v>1274.5</v>
      </c>
      <c r="J35" s="37" t="s">
        <v>606</v>
      </c>
      <c r="K35" s="116">
        <v>96000</v>
      </c>
      <c r="L35" s="116">
        <v>120000</v>
      </c>
      <c r="M35" s="116" t="s">
        <v>40</v>
      </c>
      <c r="N35" s="64" t="s">
        <v>1478</v>
      </c>
      <c r="O35" s="117" t="s">
        <v>1479</v>
      </c>
    </row>
    <row r="36" s="95" customFormat="1" ht="40" customHeight="1" spans="1:15">
      <c r="A36" s="46">
        <v>31</v>
      </c>
      <c r="B36" s="46"/>
      <c r="C36" s="46" t="str">
        <f>_xlfn.DISPIMG("ID_94D316B1999A441984C5D2BFC1BE6FF4",1)</f>
        <v>=DISPIMG("ID_94D316B1999A441984C5D2BFC1BE6FF4",1)</v>
      </c>
      <c r="D36" s="46" t="s">
        <v>1212</v>
      </c>
      <c r="E36" s="107" t="s">
        <v>1480</v>
      </c>
      <c r="F36" s="107" t="s">
        <v>1481</v>
      </c>
      <c r="G36" s="107" t="s">
        <v>1482</v>
      </c>
      <c r="H36" s="46">
        <v>124.9</v>
      </c>
      <c r="I36" s="46">
        <v>1439.4</v>
      </c>
      <c r="J36" s="108" t="s">
        <v>1218</v>
      </c>
      <c r="K36" s="109">
        <v>48000</v>
      </c>
      <c r="L36" s="109">
        <v>58000</v>
      </c>
      <c r="M36" s="110" t="s">
        <v>40</v>
      </c>
      <c r="N36" s="111" t="s">
        <v>1483</v>
      </c>
      <c r="O36" s="111" t="s">
        <v>1484</v>
      </c>
    </row>
    <row r="37" s="95" customFormat="1" ht="40" customHeight="1" spans="1:15">
      <c r="A37" s="40">
        <v>32</v>
      </c>
      <c r="B37" s="121"/>
      <c r="C37" s="61" t="str">
        <f>_xlfn.DISPIMG("ID_659725E2044440AC98B018E5EF985A4F",1)</f>
        <v>=DISPIMG("ID_659725E2044440AC98B018E5EF985A4F",1)</v>
      </c>
      <c r="D37" s="40" t="s">
        <v>57</v>
      </c>
      <c r="E37" s="40">
        <v>498651070</v>
      </c>
      <c r="F37" s="114" t="s">
        <v>1485</v>
      </c>
      <c r="G37" s="114" t="s">
        <v>1482</v>
      </c>
      <c r="H37" s="40">
        <v>75</v>
      </c>
      <c r="I37" s="40">
        <v>819.6</v>
      </c>
      <c r="J37" s="37" t="s">
        <v>1486</v>
      </c>
      <c r="K37" s="122">
        <v>160000</v>
      </c>
      <c r="L37" s="122">
        <v>190000</v>
      </c>
      <c r="M37" s="122" t="s">
        <v>40</v>
      </c>
      <c r="N37" s="122" t="s">
        <v>1487</v>
      </c>
      <c r="O37" s="122" t="s">
        <v>1488</v>
      </c>
    </row>
    <row r="38" s="95" customFormat="1" ht="40" customHeight="1" spans="1:15">
      <c r="A38" s="46">
        <v>33</v>
      </c>
      <c r="B38" s="46"/>
      <c r="C38" s="46" t="str">
        <f>_xlfn.DISPIMG("ID_69FA15123685461A98513627B93603DD",1)</f>
        <v>=DISPIMG("ID_69FA15123685461A98513627B93603DD",1)</v>
      </c>
      <c r="D38" s="46" t="s">
        <v>234</v>
      </c>
      <c r="E38" s="107">
        <v>859489967</v>
      </c>
      <c r="F38" s="107" t="s">
        <v>1489</v>
      </c>
      <c r="G38" s="107" t="s">
        <v>1490</v>
      </c>
      <c r="H38" s="46">
        <v>5.7</v>
      </c>
      <c r="I38" s="46">
        <v>84.5</v>
      </c>
      <c r="J38" s="108" t="s">
        <v>45</v>
      </c>
      <c r="K38" s="109">
        <v>4000</v>
      </c>
      <c r="L38" s="109">
        <v>6800</v>
      </c>
      <c r="M38" s="110" t="s">
        <v>40</v>
      </c>
      <c r="N38" s="111" t="s">
        <v>1491</v>
      </c>
      <c r="O38" s="111" t="s">
        <v>1492</v>
      </c>
    </row>
    <row r="39" s="95" customFormat="1" ht="40" customHeight="1" spans="1:15">
      <c r="A39" s="40">
        <v>34</v>
      </c>
      <c r="B39" s="113"/>
      <c r="C39" s="60" t="str">
        <f>_xlfn.DISPIMG("ID_B1795C0DC3FD4663ABD5DF9C682C22A7",1)</f>
        <v>=DISPIMG("ID_B1795C0DC3FD4663ABD5DF9C682C22A7",1)</v>
      </c>
      <c r="D39" s="40" t="s">
        <v>1493</v>
      </c>
      <c r="E39" s="40">
        <v>1180596864</v>
      </c>
      <c r="F39" s="114" t="s">
        <v>1494</v>
      </c>
      <c r="G39" s="114" t="s">
        <v>1495</v>
      </c>
      <c r="H39" s="40">
        <v>2.2</v>
      </c>
      <c r="I39" s="40">
        <v>31.3</v>
      </c>
      <c r="J39" s="37" t="s">
        <v>45</v>
      </c>
      <c r="K39" s="116">
        <v>4000</v>
      </c>
      <c r="L39" s="116">
        <v>6000</v>
      </c>
      <c r="M39" s="116" t="s">
        <v>40</v>
      </c>
      <c r="N39" s="64" t="s">
        <v>1496</v>
      </c>
      <c r="O39" s="117" t="s">
        <v>1497</v>
      </c>
    </row>
    <row r="40" s="95" customFormat="1" ht="40" customHeight="1" spans="1:15">
      <c r="A40" s="46">
        <v>35</v>
      </c>
      <c r="B40" s="46"/>
      <c r="C40" s="46" t="str">
        <f>_xlfn.DISPIMG("ID_CF3E9C04E2EB483DB964FAB1C49DFD49",1)</f>
        <v>=DISPIMG("ID_CF3E9C04E2EB483DB964FAB1C49DFD49",1)</v>
      </c>
      <c r="D40" s="46" t="s">
        <v>167</v>
      </c>
      <c r="E40" s="107">
        <v>245666155</v>
      </c>
      <c r="F40" s="107" t="s">
        <v>1498</v>
      </c>
      <c r="G40" s="107" t="s">
        <v>1499</v>
      </c>
      <c r="H40" s="46">
        <v>27.9</v>
      </c>
      <c r="I40" s="46">
        <v>321.9</v>
      </c>
      <c r="J40" s="108" t="s">
        <v>45</v>
      </c>
      <c r="K40" s="109">
        <v>28000</v>
      </c>
      <c r="L40" s="109">
        <v>38000</v>
      </c>
      <c r="M40" s="110" t="s">
        <v>40</v>
      </c>
      <c r="N40" s="111" t="s">
        <v>1500</v>
      </c>
      <c r="O40" s="111" t="s">
        <v>1501</v>
      </c>
    </row>
    <row r="41" s="95" customFormat="1" ht="40" customHeight="1" spans="1:15">
      <c r="A41" s="40">
        <v>36</v>
      </c>
      <c r="B41" s="113"/>
      <c r="C41" s="60" t="str">
        <f>_xlfn.DISPIMG("ID_3DC8C9DC7D2A40A182F096AE2C13FE48",1)</f>
        <v>=DISPIMG("ID_3DC8C9DC7D2A40A182F096AE2C13FE48",1)</v>
      </c>
      <c r="D41" s="40" t="s">
        <v>1502</v>
      </c>
      <c r="E41" s="40">
        <v>345792259</v>
      </c>
      <c r="F41" s="114" t="s">
        <v>1503</v>
      </c>
      <c r="G41" s="114" t="s">
        <v>1504</v>
      </c>
      <c r="H41" s="40">
        <v>18.1</v>
      </c>
      <c r="I41" s="40">
        <v>120.1</v>
      </c>
      <c r="J41" s="37" t="s">
        <v>45</v>
      </c>
      <c r="K41" s="116">
        <v>10000</v>
      </c>
      <c r="L41" s="116">
        <v>68000</v>
      </c>
      <c r="M41" s="116" t="s">
        <v>40</v>
      </c>
      <c r="N41" s="64" t="s">
        <v>1505</v>
      </c>
      <c r="O41" s="117" t="s">
        <v>1506</v>
      </c>
    </row>
    <row r="42" s="95" customFormat="1" ht="40" customHeight="1" spans="1:15">
      <c r="A42" s="46">
        <v>38</v>
      </c>
      <c r="B42" s="46"/>
      <c r="C42" s="46" t="str">
        <f>_xlfn.DISPIMG("ID_69A1947915674D9CB0631F5D4C3CDFDE",1)</f>
        <v>=DISPIMG("ID_69A1947915674D9CB0631F5D4C3CDFDE",1)</v>
      </c>
      <c r="D42" s="46" t="s">
        <v>223</v>
      </c>
      <c r="E42" s="107">
        <v>9568993287</v>
      </c>
      <c r="F42" s="107" t="s">
        <v>1507</v>
      </c>
      <c r="G42" s="107" t="s">
        <v>1499</v>
      </c>
      <c r="H42" s="46">
        <v>36.1</v>
      </c>
      <c r="I42" s="46">
        <v>372</v>
      </c>
      <c r="J42" s="108" t="s">
        <v>45</v>
      </c>
      <c r="K42" s="109">
        <v>20000</v>
      </c>
      <c r="L42" s="109">
        <v>40000</v>
      </c>
      <c r="M42" s="110" t="s">
        <v>40</v>
      </c>
      <c r="N42" s="111" t="s">
        <v>1508</v>
      </c>
      <c r="O42" s="111" t="s">
        <v>1509</v>
      </c>
    </row>
    <row r="43" s="94" customFormat="1" ht="25" customHeight="1" spans="1:15">
      <c r="A43" s="127"/>
      <c r="B43" s="127"/>
      <c r="C43" s="127"/>
      <c r="D43" s="127"/>
      <c r="E43" s="127"/>
      <c r="F43" s="127"/>
      <c r="G43" s="128" t="s">
        <v>1510</v>
      </c>
      <c r="H43" s="129"/>
      <c r="I43" s="129"/>
      <c r="J43" s="127"/>
      <c r="K43" s="127"/>
      <c r="L43" s="127"/>
      <c r="M43" s="127"/>
      <c r="N43" s="127"/>
      <c r="O43" s="127"/>
    </row>
    <row r="44" s="95" customFormat="1" ht="40" customHeight="1" spans="1:15">
      <c r="A44" s="46">
        <v>39</v>
      </c>
      <c r="B44" s="106"/>
      <c r="C44" s="65" t="str">
        <f>_xlfn.DISPIMG("ID_1342947BE7894E3E8205ACD75702691A",1)</f>
        <v>=DISPIMG("ID_1342947BE7894E3E8205ACD75702691A",1)</v>
      </c>
      <c r="D44" s="46" t="s">
        <v>32</v>
      </c>
      <c r="E44" s="46">
        <v>2901261441</v>
      </c>
      <c r="F44" s="107" t="s">
        <v>1511</v>
      </c>
      <c r="G44" s="107" t="s">
        <v>1512</v>
      </c>
      <c r="H44" s="46">
        <v>136</v>
      </c>
      <c r="I44" s="46">
        <v>748.2</v>
      </c>
      <c r="J44" s="108" t="s">
        <v>45</v>
      </c>
      <c r="K44" s="109">
        <v>150000</v>
      </c>
      <c r="L44" s="109" t="s">
        <v>1513</v>
      </c>
      <c r="M44" s="109" t="s">
        <v>40</v>
      </c>
      <c r="N44" s="111" t="s">
        <v>1514</v>
      </c>
      <c r="O44" s="112" t="s">
        <v>1515</v>
      </c>
    </row>
    <row r="45" s="95" customFormat="1" ht="40" customHeight="1" spans="1:15">
      <c r="A45" s="40">
        <v>40</v>
      </c>
      <c r="B45" s="40"/>
      <c r="C45" s="60" t="str">
        <f>_xlfn.DISPIMG("ID_D9CE992367B2406F818344C9598E8010",1)</f>
        <v>=DISPIMG("ID_D9CE992367B2406F818344C9598E8010",1)</v>
      </c>
      <c r="D45" s="40" t="s">
        <v>864</v>
      </c>
      <c r="E45" s="40">
        <v>738929455</v>
      </c>
      <c r="F45" s="114" t="s">
        <v>1516</v>
      </c>
      <c r="G45" s="114" t="s">
        <v>1517</v>
      </c>
      <c r="H45" s="40">
        <v>2.5</v>
      </c>
      <c r="I45" s="40">
        <v>25.9</v>
      </c>
      <c r="J45" s="115" t="s">
        <v>45</v>
      </c>
      <c r="K45" s="116">
        <v>3000</v>
      </c>
      <c r="L45" s="116">
        <v>6000</v>
      </c>
      <c r="M45" s="116" t="s">
        <v>40</v>
      </c>
      <c r="N45" s="64" t="s">
        <v>1518</v>
      </c>
      <c r="O45" s="117" t="s">
        <v>1519</v>
      </c>
    </row>
    <row r="46" s="95" customFormat="1" ht="40" customHeight="1" spans="1:15">
      <c r="A46" s="46">
        <v>41</v>
      </c>
      <c r="B46" s="106"/>
      <c r="C46" s="46" t="str">
        <f>_xlfn.DISPIMG("ID_1B204D0DF25F4BA7A08167829A9F3C07",1)</f>
        <v>=DISPIMG("ID_1B204D0DF25F4BA7A08167829A9F3C07",1)</v>
      </c>
      <c r="D46" s="46" t="s">
        <v>1120</v>
      </c>
      <c r="E46" s="107" t="s">
        <v>1520</v>
      </c>
      <c r="F46" s="107" t="s">
        <v>1521</v>
      </c>
      <c r="G46" s="107" t="s">
        <v>1522</v>
      </c>
      <c r="H46" s="46">
        <v>7.6</v>
      </c>
      <c r="I46" s="46">
        <v>62.1</v>
      </c>
      <c r="J46" s="108" t="s">
        <v>45</v>
      </c>
      <c r="K46" s="109">
        <v>5000</v>
      </c>
      <c r="L46" s="109">
        <v>8000</v>
      </c>
      <c r="M46" s="109" t="s">
        <v>40</v>
      </c>
      <c r="N46" s="112" t="s">
        <v>1523</v>
      </c>
      <c r="O46" s="112" t="s">
        <v>1524</v>
      </c>
    </row>
    <row r="47" s="94" customFormat="1" ht="25" customHeight="1" spans="1:15">
      <c r="A47" s="130"/>
      <c r="B47" s="130"/>
      <c r="C47" s="130"/>
      <c r="D47" s="130"/>
      <c r="E47" s="130"/>
      <c r="F47" s="130"/>
      <c r="G47" s="130" t="s">
        <v>91</v>
      </c>
      <c r="H47" s="131"/>
      <c r="I47" s="131"/>
      <c r="J47" s="130"/>
      <c r="K47" s="130"/>
      <c r="L47" s="130"/>
      <c r="M47" s="130"/>
      <c r="N47" s="130"/>
      <c r="O47" s="130"/>
    </row>
    <row r="48" s="95" customFormat="1" ht="40" customHeight="1" spans="1:15">
      <c r="A48" s="46">
        <v>42</v>
      </c>
      <c r="B48" s="132" t="s">
        <v>92</v>
      </c>
      <c r="C48" s="46" t="str">
        <f>_xlfn.DISPIMG("ID_654CE2074224454884D7C4F04A1DB808",1)</f>
        <v>=DISPIMG("ID_654CE2074224454884D7C4F04A1DB808",1)</v>
      </c>
      <c r="D48" s="107" t="s">
        <v>93</v>
      </c>
      <c r="E48" s="46">
        <v>8023486810</v>
      </c>
      <c r="F48" s="107" t="s">
        <v>1525</v>
      </c>
      <c r="G48" s="107" t="s">
        <v>1526</v>
      </c>
      <c r="H48" s="46">
        <v>19.9</v>
      </c>
      <c r="I48" s="46">
        <v>94.9</v>
      </c>
      <c r="J48" s="108" t="s">
        <v>45</v>
      </c>
      <c r="K48" s="109">
        <v>350000</v>
      </c>
      <c r="L48" s="109">
        <v>380000</v>
      </c>
      <c r="M48" s="109" t="s">
        <v>40</v>
      </c>
      <c r="N48" s="112" t="s">
        <v>1527</v>
      </c>
      <c r="O48" s="112" t="s">
        <v>40</v>
      </c>
    </row>
    <row r="49" s="95" customFormat="1" ht="40" customHeight="1" spans="1:15">
      <c r="A49" s="17">
        <v>43</v>
      </c>
      <c r="B49" s="113"/>
      <c r="C49" t="str">
        <f>_xlfn.DISPIMG("ID_C180EAF4349344B8B47021073FD519F3",1)</f>
        <v>=DISPIMG("ID_C180EAF4349344B8B47021073FD519F3",1)</v>
      </c>
      <c r="D49" s="16" t="s">
        <v>103</v>
      </c>
      <c r="E49" s="17">
        <v>1598153984</v>
      </c>
      <c r="F49" s="16" t="s">
        <v>1528</v>
      </c>
      <c r="G49" s="16" t="s">
        <v>1526</v>
      </c>
      <c r="H49" s="17">
        <v>3.1</v>
      </c>
      <c r="I49" s="17">
        <v>41</v>
      </c>
      <c r="J49" s="133" t="s">
        <v>45</v>
      </c>
      <c r="K49" s="134">
        <v>8000</v>
      </c>
      <c r="L49" s="134">
        <v>10000</v>
      </c>
      <c r="M49" s="134" t="s">
        <v>40</v>
      </c>
      <c r="N49" s="64" t="s">
        <v>1529</v>
      </c>
      <c r="O49" s="64" t="s">
        <v>1530</v>
      </c>
    </row>
    <row r="50" s="94" customFormat="1" ht="25" customHeight="1" spans="1:15">
      <c r="A50" s="135"/>
      <c r="B50" s="135"/>
      <c r="C50" s="135"/>
      <c r="D50" s="135"/>
      <c r="E50" s="135"/>
      <c r="F50" s="135"/>
      <c r="G50" s="136" t="s">
        <v>1531</v>
      </c>
      <c r="H50" s="137"/>
      <c r="I50" s="137"/>
      <c r="J50" s="135"/>
      <c r="K50" s="135"/>
      <c r="L50" s="135"/>
      <c r="M50" s="135"/>
      <c r="N50" s="135"/>
      <c r="O50" s="135"/>
    </row>
    <row r="51" s="95" customFormat="1" ht="40" customHeight="1" spans="1:15">
      <c r="A51" s="40">
        <v>44</v>
      </c>
      <c r="B51" s="113"/>
      <c r="C51" t="str">
        <f>_xlfn.DISPIMG("ID_98E9F40190D140AF8D418DA5B73C904E",1)</f>
        <v>=DISPIMG("ID_98E9F40190D140AF8D418DA5B73C904E",1)</v>
      </c>
      <c r="D51" s="40" t="s">
        <v>386</v>
      </c>
      <c r="E51" s="40">
        <v>9514015310</v>
      </c>
      <c r="F51" s="114" t="s">
        <v>1532</v>
      </c>
      <c r="G51" s="114" t="s">
        <v>1533</v>
      </c>
      <c r="H51" s="40">
        <v>10.4</v>
      </c>
      <c r="I51" s="40">
        <v>53.6</v>
      </c>
      <c r="J51" s="115" t="s">
        <v>45</v>
      </c>
      <c r="K51" s="116">
        <v>15000</v>
      </c>
      <c r="L51" s="116">
        <v>30000</v>
      </c>
      <c r="M51" s="116" t="s">
        <v>40</v>
      </c>
      <c r="N51" s="64" t="s">
        <v>1534</v>
      </c>
      <c r="O51" s="117" t="s">
        <v>1535</v>
      </c>
    </row>
    <row r="52" s="95" customFormat="1" ht="40" customHeight="1" spans="1:15">
      <c r="A52" s="46">
        <v>45</v>
      </c>
      <c r="B52" s="106"/>
      <c r="C52" s="65" t="str">
        <f>_xlfn.DISPIMG("ID_82BAEAD4A8B04B6A86EA0B945ACFB8ED",1)</f>
        <v>=DISPIMG("ID_82BAEAD4A8B04B6A86EA0B945ACFB8ED",1)</v>
      </c>
      <c r="D52" s="67" t="s">
        <v>1536</v>
      </c>
      <c r="E52" s="43">
        <v>117956154</v>
      </c>
      <c r="F52" s="138" t="s">
        <v>1537</v>
      </c>
      <c r="G52" s="107" t="s">
        <v>1533</v>
      </c>
      <c r="H52" s="46">
        <v>1.1</v>
      </c>
      <c r="I52" s="46">
        <v>3.7</v>
      </c>
      <c r="J52" s="108" t="s">
        <v>45</v>
      </c>
      <c r="K52" s="109" t="s">
        <v>1538</v>
      </c>
      <c r="L52" s="109" t="s">
        <v>1538</v>
      </c>
      <c r="M52" s="109" t="s">
        <v>40</v>
      </c>
      <c r="N52" s="111" t="s">
        <v>1539</v>
      </c>
      <c r="O52" s="112" t="s">
        <v>1540</v>
      </c>
    </row>
    <row r="53" s="95" customFormat="1" ht="40" customHeight="1" spans="1:15">
      <c r="A53" s="40">
        <v>46</v>
      </c>
      <c r="B53" s="113"/>
      <c r="C53" s="60" t="str">
        <f>_xlfn.DISPIMG("ID_AAD41A3608BA499BB3B2FD1402694A71",1)</f>
        <v>=DISPIMG("ID_AAD41A3608BA499BB3B2FD1402694A71",1)</v>
      </c>
      <c r="D53" s="40" t="s">
        <v>1541</v>
      </c>
      <c r="E53" s="40">
        <v>116310128</v>
      </c>
      <c r="F53" s="114" t="s">
        <v>1542</v>
      </c>
      <c r="G53" s="114" t="s">
        <v>447</v>
      </c>
      <c r="H53" s="40">
        <v>2.4</v>
      </c>
      <c r="I53" s="40">
        <v>7.1</v>
      </c>
      <c r="J53" s="115" t="s">
        <v>45</v>
      </c>
      <c r="K53" s="116">
        <v>8000</v>
      </c>
      <c r="L53" s="116">
        <v>15000</v>
      </c>
      <c r="M53" s="116" t="s">
        <v>40</v>
      </c>
      <c r="N53" s="64" t="s">
        <v>1543</v>
      </c>
      <c r="O53" s="117" t="s">
        <v>1544</v>
      </c>
    </row>
    <row r="54" s="95" customFormat="1" ht="40" customHeight="1" spans="1:15">
      <c r="A54" s="46">
        <v>47</v>
      </c>
      <c r="B54" s="106"/>
      <c r="C54" s="65" t="str">
        <f>_xlfn.DISPIMG("ID_31BDFBC9D72246ECAA6021AAAD17785C",1)</f>
        <v>=DISPIMG("ID_31BDFBC9D72246ECAA6021AAAD17785C",1)</v>
      </c>
      <c r="D54" s="67" t="s">
        <v>1545</v>
      </c>
      <c r="E54" s="43">
        <v>6764017209</v>
      </c>
      <c r="F54" s="138" t="s">
        <v>1546</v>
      </c>
      <c r="G54" s="107" t="s">
        <v>447</v>
      </c>
      <c r="H54" s="46">
        <v>2.5</v>
      </c>
      <c r="I54" s="46">
        <v>16.8</v>
      </c>
      <c r="J54" s="108" t="s">
        <v>45</v>
      </c>
      <c r="K54" s="109">
        <v>8000</v>
      </c>
      <c r="L54" s="109">
        <v>15000</v>
      </c>
      <c r="M54" s="109" t="s">
        <v>40</v>
      </c>
      <c r="N54" s="111" t="s">
        <v>1547</v>
      </c>
      <c r="O54" s="111" t="s">
        <v>1548</v>
      </c>
    </row>
    <row r="55" s="95" customFormat="1" ht="40" customHeight="1" spans="1:15">
      <c r="A55" s="40">
        <v>48</v>
      </c>
      <c r="B55" s="113"/>
      <c r="C55" s="60" t="str">
        <f>_xlfn.DISPIMG("ID_F652C207402A4EFB961D0799CB123FE5",1)</f>
        <v>=DISPIMG("ID_F652C207402A4EFB961D0799CB123FE5",1)</v>
      </c>
      <c r="D55" s="40" t="s">
        <v>1549</v>
      </c>
      <c r="E55" s="40" t="s">
        <v>1550</v>
      </c>
      <c r="F55" s="114" t="s">
        <v>1551</v>
      </c>
      <c r="G55" s="114" t="s">
        <v>447</v>
      </c>
      <c r="H55" s="40">
        <v>1.7</v>
      </c>
      <c r="I55" s="40">
        <v>20.2</v>
      </c>
      <c r="J55" s="115" t="s">
        <v>45</v>
      </c>
      <c r="K55" s="116">
        <v>8000</v>
      </c>
      <c r="L55" s="116">
        <v>15000</v>
      </c>
      <c r="M55" s="116" t="s">
        <v>40</v>
      </c>
      <c r="N55" s="64" t="s">
        <v>1552</v>
      </c>
      <c r="O55" s="117" t="s">
        <v>1553</v>
      </c>
    </row>
    <row r="56" s="95" customFormat="1" ht="40" customHeight="1" spans="1:15">
      <c r="A56" s="46">
        <v>49</v>
      </c>
      <c r="B56" s="106"/>
      <c r="C56" s="65" t="str">
        <f>_xlfn.DISPIMG("ID_5E08D9A73757491D80EC53CF0B8532CB",1)</f>
        <v>=DISPIMG("ID_5E08D9A73757491D80EC53CF0B8532CB",1)</v>
      </c>
      <c r="D56" s="67" t="s">
        <v>1554</v>
      </c>
      <c r="E56" s="43">
        <v>8330102030</v>
      </c>
      <c r="F56" s="138" t="s">
        <v>1555</v>
      </c>
      <c r="G56" s="107" t="s">
        <v>1556</v>
      </c>
      <c r="H56" s="46">
        <v>1.9</v>
      </c>
      <c r="I56" s="46">
        <v>4.6</v>
      </c>
      <c r="J56" s="108" t="s">
        <v>45</v>
      </c>
      <c r="K56" s="109">
        <v>3000</v>
      </c>
      <c r="L56" s="109">
        <v>6000</v>
      </c>
      <c r="M56" s="109" t="s">
        <v>40</v>
      </c>
      <c r="N56" s="111" t="s">
        <v>1557</v>
      </c>
      <c r="O56" s="111" t="s">
        <v>1558</v>
      </c>
    </row>
    <row r="57" s="95" customFormat="1" ht="40" customHeight="1" spans="1:15">
      <c r="A57" s="40">
        <v>50</v>
      </c>
      <c r="B57" s="113"/>
      <c r="C57" s="60" t="str">
        <f>_xlfn.DISPIMG("ID_5A891D8FCD964649A8E4EEEAD62562F8",1)</f>
        <v>=DISPIMG("ID_5A891D8FCD964649A8E4EEEAD62562F8",1)</v>
      </c>
      <c r="D57" s="40" t="s">
        <v>1559</v>
      </c>
      <c r="E57" s="40">
        <v>2609821210</v>
      </c>
      <c r="F57" s="114" t="s">
        <v>1560</v>
      </c>
      <c r="G57" s="114" t="s">
        <v>1561</v>
      </c>
      <c r="H57" s="40">
        <v>13.1</v>
      </c>
      <c r="I57" s="40">
        <v>110.3</v>
      </c>
      <c r="J57" s="115" t="s">
        <v>45</v>
      </c>
      <c r="K57" s="116">
        <v>1800</v>
      </c>
      <c r="L57" s="116">
        <v>6000</v>
      </c>
      <c r="M57" s="116" t="s">
        <v>1562</v>
      </c>
      <c r="N57" s="64" t="s">
        <v>1563</v>
      </c>
      <c r="O57" s="117" t="s">
        <v>1564</v>
      </c>
    </row>
    <row r="58" s="95" customFormat="1" ht="40" customHeight="1" spans="1:15">
      <c r="A58" s="139">
        <v>51</v>
      </c>
      <c r="B58" s="140"/>
      <c r="C58" s="70" t="str">
        <f>_xlfn.DISPIMG("ID_401706D6110241AF85A23925E986506A",1)</f>
        <v>=DISPIMG("ID_401706D6110241AF85A23925E986506A",1)</v>
      </c>
      <c r="D58" s="72" t="s">
        <v>1565</v>
      </c>
      <c r="E58" s="69">
        <v>2918257134</v>
      </c>
      <c r="F58" s="141" t="s">
        <v>1566</v>
      </c>
      <c r="G58" s="142" t="s">
        <v>1567</v>
      </c>
      <c r="H58" s="139">
        <v>5.6</v>
      </c>
      <c r="I58" s="139">
        <v>32.5</v>
      </c>
      <c r="J58" s="143" t="s">
        <v>45</v>
      </c>
      <c r="K58" s="144">
        <v>5000</v>
      </c>
      <c r="L58" s="144">
        <v>6500</v>
      </c>
      <c r="M58" s="144" t="s">
        <v>1568</v>
      </c>
      <c r="N58" s="145" t="s">
        <v>1569</v>
      </c>
      <c r="O58" s="145" t="s">
        <v>1570</v>
      </c>
    </row>
  </sheetData>
  <autoFilter xmlns:etc="http://www.wps.cn/officeDocument/2017/etCustomData" ref="A2:O58" etc:filterBottomFollowUsedRange="0">
    <extLst/>
  </autoFilter>
  <mergeCells count="1">
    <mergeCell ref="A1:O1"/>
  </mergeCells>
  <hyperlinks>
    <hyperlink ref="N14" r:id="rId2" display="https://www.xiaohongshu.com/user/profile/5cb427010000000017018af8?language=zh-CN"/>
    <hyperlink ref="N7" r:id="rId3" display="https://www.xiaohongshu.com/user/profile/5b001a854eacab46d3308d84?language=zh-CN"/>
    <hyperlink ref="N24" r:id="rId4" display="https://www.xiaohongshu.com/user/profile/5c886d4a000000001103062a?language=zh-CN" tooltip="https://www.xiaohongshu.com/user/profile/5c886d4a000000001103062a?language=zh-CN"/>
    <hyperlink ref="N18" r:id="rId5" display="https://www.xiaohongshu.com/user/profile/5fbf55ac00000000010054ec?language=zh-CN"/>
    <hyperlink ref="N16" r:id="rId6" display="https://www.xiaohongshu.com/user/profile/601d48c2000000000101e66a?language=zh-CN"/>
    <hyperlink ref="N42" r:id="rId7" display="https://www.xiaohongshu.com/user/profile/60c9d9cb0000000001009e2a?language=zh-CN"/>
    <hyperlink ref="N40" r:id="rId8" display="https://www.xiaohongshu.com/user/profile/5f508cb8000000000100baa4?language=zh-CN"/>
    <hyperlink ref="N27" r:id="rId9" display="https://www.xiaohongshu.com/user/profile/5f2e0669000000000101c68b?language=zh-CN"/>
    <hyperlink ref="N20" r:id="rId10" display="https://www.xiaohongshu.com/user/profile/5fa362a30000000001000747?language=zh-CN"/>
    <hyperlink ref="N41" r:id="rId11" display="https://www.xiaohongshu.com/user/profile/5ed4909b0000000001002d4f?language=zh-CN"/>
    <hyperlink ref="N51" r:id="rId12" display="https://www.xiaohongshu.com/user/profile/612f5616000000000201db0b?language=zh-CN"/>
    <hyperlink ref="N30" r:id="rId13" display="https://www.xiaohongshu.co&#10;m/user/profile/5b4f5fcb11&#10;be106513a09b1c" tooltip="https://www.xiaohongshu.com/user/profile/5b4f5fcb11be106513a09b1c"/>
    <hyperlink ref="N5" r:id="rId14" display="https://www.xiaohongshu.com/user/profile/61a60fe70000000010005673?xhsshare=CopyLink&amp;appuid=5abb1ddc4eacab7df3804e90&amp;apptime=1646106950"/>
    <hyperlink ref="N25" r:id="rId15" display="https://www.xiaohongshu.com/user/profile/5a9e4fd2e8ac2b28058cc6bc?xhsshare=CopyLink&amp;appuid=5bb0616f7d87110001b9d058&amp;apptime=1660629996"/>
    <hyperlink ref="N23" r:id="rId16" display="https://www.xiaohongshu.com/user/profile/5c6836cc0000000011031924?xhsshare=CopyLink&amp;appuid=5f6887c9000000000100b2fc&amp;apptime=1668403653"/>
    <hyperlink ref="N44" r:id="rId17" display="https://www.xiaohongshu.com/user/profile/63427e74000000001802fe3e?xhsshare=CopyLink&amp;appuid=5f6887c9000000000100b2fc&amp;apptime=1669968325"/>
    <hyperlink ref="N52" r:id="rId18" display="https://www.xiaohongshu.com/user/profile/5b2de90311be1024e027ab8c?xhsshare=CopyLink&amp;appuid=5f6887c9000000000100b2fc&amp;apptime=1679989323"/>
    <hyperlink ref="N10" r:id="rId19" display="https://www.xiaohongshu.com/user/profile/5876137c82ec392876477d49?xhsshare=CopyLink&amp;appuid=5876137c82ec392876477d49&amp;apptime=1559476421"/>
    <hyperlink ref="N9" r:id="rId20" display="https://www.xiaohongshu.com/user/profile/591d50e582ec397ced16b902?xhsshare=CopyLink&amp;appuid=5f6887c9000000000100b2fc&amp;apptime=1682411995"/>
    <hyperlink ref="N39" r:id="rId21" display="https://www.xiaohongshu.com/user/profile/5ff947cb000000000101d8ac?xhsshare=CopyLink&amp;appuid=5f6887c9000000000100b2fc&amp;apptime=1684128014"/>
    <hyperlink ref="N13" r:id="rId22" display="https://www.xiaohongshu.com/user/profile/5fcf254b0000000001000dc1?xhsshare=CopyLink&amp;appuid=5f6887c9000000000100b2fc&amp;apptime=1685499908"/>
    <hyperlink ref="N45" r:id="rId23" display="https://www.xiaohongshu.com/user/profile/5f31dd7e00000000010001fa?xhsshare=CopyLink&amp;appuid=5f6887c9000000000100b2fc&amp;apptime=1688612831"/>
    <hyperlink ref="N21" r:id="rId24" display="https://www.xiaohongshu.com/user/profile/60afd8b00000000001008d94?xhsshare=CopyLink&amp;appuid=5f6887c9000000000100b2fc&amp;apptime=1690434083"/>
    <hyperlink ref="N32" r:id="rId25" display="https://www.xiaohongshu.com/user/profile/5bb2ee2cbb1c740001fb8731?xhsshare=CopyLink&amp;appuid=5f6887c9000000000100b2fc&amp;apptime=1691569990"/>
    <hyperlink ref="N35" r:id="rId26" display="https://www.xiaohongshu.com/user/profile/5f4dde330000000001005ae2?xhsshare=CopyLink&amp;appuid=5f6887c9000000000100b2fc&amp;apptime=1692254448"/>
    <hyperlink ref="N36" r:id="rId27" display="https://www.xiaohongshu.com/user/profile/5fc9c5480000000001004b0e?xhsshare=CopyLink&amp;appuid=5f6887c9000000000100b2fc&amp;apptime=1692700093"/>
    <hyperlink ref="N58" r:id="rId28" display="https://www.xiaohongshu.com/user/profile/63246d3a00000000230275e1?xhsshare=CopyLink&amp;appuid=5f6887c9000000000100b2fc&amp;apptime=1697786233"/>
    <hyperlink ref="N26" r:id="rId29" display="https://www.xiaohongshu.com/user/profile/5ca7791c000000001703d920?xhsshare=CopyLink&amp;appuid=5f6887c9000000000100b2fc&amp;apptime=1698031379"/>
    <hyperlink ref="N38" r:id="rId30" display="https://www.xiaohongshu.com/user/profile/5f4e07d2000000000101d5eb?xhsshare=CopyLink&amp;appuid=5f6887c9000000000100b2fc&amp;apptime=1699496214"/>
    <hyperlink ref="N57" r:id="rId31" display="https://www.xiaohongshu.com/user/profile/60ab06f4000000000101f416?xhsshare=CopyLink&amp;appuid=5f6887c9000000000100b2fc&amp;apptime=1704441598"/>
    <hyperlink ref="N8" r:id="rId32" display="https://www.xiaohongshu.com/user/profile/5a026bc94eacab345d40800b?xhsshare=CopyLink&amp;appuid=5f6887c9000000000100b2fc&amp;apptime=1706512965"/>
    <hyperlink ref="N29" r:id="rId33" display="https://www.xiaohongshu.com/user/profile/642f09e60000000029011b9e?xhsshare=CopyLink&amp;appuid=5f6887c9000000000100b2fc&amp;apptime=1713341457"/>
    <hyperlink ref="N56" r:id="rId34" display="https://www.xiaohongshu.com/user/profile/65850350000000001b032296?xhsshare=CopyLink&amp;appuid=5f6887c9000000000100b2fc&amp;apptime=1716184285"/>
    <hyperlink ref="N4" r:id="rId35" display="https://www.xiaohongshu.com/user/profile/5d9c4619000000000100b1c0?xhsshare=CopyLink&amp;appuid=5f6887c9000000000100b2fc&amp;apptime=1691991561"/>
    <hyperlink ref="N6" r:id="rId36" display="https://www.xiaohongshu.com/user/profile/5a813a144eacab5b9d72c400?xhsshare=CopyLink&amp;appuid=5f6887c9000000000100b2fc&amp;apptime=1723700841&amp;share_id=704b384e90fa4a349ec425d10d3c571b"/>
    <hyperlink ref="N33" r:id="rId37" display="https://www.xiaohongshu.com/user/profile/5fd1ec020000000001006b13?xhsshare=CopyLink&amp;appuid=5bb0616f7d87110001b9d058&amp;apptime=1660629721"/>
    <hyperlink ref="O36" r:id="rId38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16" r:id="rId39" display="https://pgy.xiaohongshu.com/solar/pre-trade/blogger-detail/601d48c2000000000101e66a?track_id=kolSearch_daa082264a03422989c91a4da391e036&amp;source=Advertiser_Kol"/>
    <hyperlink ref="O18" r:id="rId40" display="https://pgy.xiaohongshu.com/solar/pre-trade/blogger-detail/5fbf55ac00000000010054ec?track_id=kolSearch_a8e059b9d6fc4b2ca7c93b6ec5369a22&amp;source=Advertiser_Kol"/>
    <hyperlink ref="O32" r:id="rId41" display="https://pgy.xiaohongshu.com/solar/pre-trade/blogger-detail/5bb2ee2cbb1c740001fb8731?track_id=kolSearch_645edcebb0e6403993bfd65c04c7f79f&amp;source=Advertiser_Kol"/>
    <hyperlink ref="O10" r:id="rId42" display="https://pgy.xiaohongshu.com/solar/pre-trade/blogger-detail/5876137c82ec392876477d49?track_id=kolSearch_69ed0984c006499aadca3a698fa54920&amp;source=Advertiser_Kol"/>
    <hyperlink ref="O5" r:id="rId43" display="https://pgy.xiaohongshu.com/solar/pre-trade/blogger-detail/61a60fe70000000010005673?track_id=kolSearch_4e0020d93e8f4404af08b7b167ef41dd&amp;source=Advertiser_Kol"/>
    <hyperlink ref="O4" r:id="rId44" display="https://pgy.xiaohongshu.com/solar/pre-trade/blogger-detail/5d9c4619000000000100b1c0?track_id=kolSearch_0c134ff113144bb3bd24c1c8e40c9910&amp;source=Advertiser_Kol"/>
    <hyperlink ref="O6" r:id="rId45" display="https://pgy.xiaohongshu.com/solar/pre-trade/blogger-detail/5a813a144eacab5b9d72c400?track_id=kolSearch_a6b116f5d0f1473faccb5233122861d9&amp;source=Advertiser_Kol"/>
    <hyperlink ref="O8" r:id="rId46" display="https://pgy.xiaohongshu.com/solar/pre-trade/blogger-detail/5a026bc94eacab345d40800b?track_id=kolSearch_621d32718c224318be729c41e4b3f0f2&amp;source=Advertiser_Kol"/>
    <hyperlink ref="O20" r:id="rId47" display="https://pgy.xiaohongshu.com/solar/pre-trade/blogger-detail/5fa362a30000000001000747?track_id=kolSearch_29ad4d6b12c840b4b88a7efc15e5f424&amp;source=Advertiser_Kol"/>
    <hyperlink ref="O21" r:id="rId48" display="https://pgy.xiaohongshu.com/solar/pre-trade/blogger-detail/60afd8b00000000001008d94?track_id=kolSearch_bf55ff7945af48ff9d4168c02a229a35&amp;source=Advertiser_Kol"/>
    <hyperlink ref="O38" r:id="rId49" display="https://pgy.xiaohongshu.com/solar/pre-trade/blogger-detail/5f4e07d2000000000101d5eb?track_id=kolSearch_15a6e0fabc364f898086f65ebde63732&amp;source=Advertiser_Kol"/>
    <hyperlink ref="O39" r:id="rId50" display="https://pgy.xiaohongshu.com/solar/pre-trade/blogger-detail/5ff947cb000000000101d8ac?track_id=kolSearch_2e20515045d445fb82f92f1edf5d58eb&amp;source=Advertiser_Kol"/>
    <hyperlink ref="O35" r:id="rId51" display="https://pgy.xiaohongshu.com/solar/pre-trade/blogger-detail/5f4dde330000000001005ae2?track_id=kolSearch_899ac3c3487c49548f9d6b3634955aae&amp;source=Advertiser_Kol"/>
    <hyperlink ref="O40" r:id="rId52" display="https://pgy.xiaohongshu.com/solar/pre-trade/blogger-detail/5f508cb8000000000100baa4?track_id=kolSearch_61be879a4c4d4aa3b11788d1a18e6bff&amp;source=Advertiser_Kol"/>
    <hyperlink ref="O41" r:id="rId53" display="https://pgy.xiaohongshu.com/solar/pre-trade/blogger-detail/5ed4909b0000000001002d4f?track_id=kolSearch_34a6ace8a0a54d8bb1a4191e1c7b5e12&amp;source=Advertiser_Kol"/>
    <hyperlink ref="O7" r:id="rId54" display="https://pgy.xiaohongshu.com/solar/pre-trade/blogger-detail/5b001a854eacab46d3308d84?track_id=kolSearch_ab766fc69d734a6c911cb7086a3347fb&amp;source=Advertiser_Kol"/>
    <hyperlink ref="O44" r:id="rId55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2" r:id="rId56" display="https://pgy.xiaohongshu.com/solar/pre-trade/blogger-detail/60c9d9cb0000000001009e2a?track_id=kolSearch_80e82a9105a04fa381f4159f3b27538e&amp;source=Advertiser_Kol"/>
    <hyperlink ref="O25" r:id="rId57" display="https://pgy.xiaohongshu.com/solar/pre-trade/blogger-detail/5a9e4fd2e8ac2b28058cc6bc?track_id=kolSearch_3eea07c3e7a24c3f8cc3373d9bf49ae2&amp;source=Advertiser_Kol"/>
    <hyperlink ref="O24" r:id="rId58" display="https://pgy.xiaohongshu.com/solar/pre-trade/blogger-detail/5c886d4a000000001103062a?track_id=kolSearch_aec86d67bd964e3995787b9924f8d884&amp;source=Advertiser_Kol"/>
    <hyperlink ref="O26" r:id="rId59" display="https://pgy.xiaohongshu.com/solar/pre-trade/blogger-detail/5ca7791c000000001703d920?track_id=kolSearch_d3fcc24a5ddf477d979bf14e3fe5ffed&amp;source=Advertiser_Kol"/>
    <hyperlink ref="O27" r:id="rId60" display="https://pgy.xiaohongshu.com/solar/pre-trade/blogger-detail/5f2e0669000000000101c68b?track_id=kolSearch_366a708dbb8a4624baf7c246bbe47c2b&amp;source=Advertiser_Kol"/>
    <hyperlink ref="O51" r:id="rId61" display="https://pgy.xiaohongshu.com/solar/pre-trade/blogger-detail/612f5616000000000201db0b?track_id=kolSearch_9e73eb1875e74f989bceae0bb29f7fd6&amp;source=Advertiser_Kol"/>
    <hyperlink ref="O13" r:id="rId62" display="https://pgy.xiaohongshu.com/solar/pre-trade/blogger-detail/5fcf254b0000000001000dc1?track_id=kolSearch_6b9d38da35fa40eba6b620d4a633d09f&amp;source=Advertiser_Kol"/>
    <hyperlink ref="O30" r:id="rId63" display="https://pgy.xiaohongshu.com/solar/pre-trade/blogger-detail/5b4f5fcb11be106513a09b1c?track_id=kolSearch_5898afae8ddc45e5b64749b791f59335&amp;source=Advertiser_Kol"/>
    <hyperlink ref="O9" r:id="rId64" display="https://pgy.xiaohongshu.com/solar/pre-trade/blogger-detail/591d50e582ec397ced16b902?track_id=kolSearch_f2607d75dc404d26836275650a90d789&amp;source=Advertiser_Kol"/>
    <hyperlink ref="O29" r:id="rId65" display="https://pgy.xiaohongshu.com/solar/pre-trade/blogger-detail/642f09e60000000029011b9e?track_id=kolSearch_9f32b438ea584760ba43c1cf96f2fb9b&amp;source=Advertiser_Kol"/>
    <hyperlink ref="O45" r:id="rId66" display="https://pgy.xiaohongshu.com/solar/pre-trade/blogger-detail/5f31dd7e00000000010001fa?track_id=kolSearch_a1b332f63bf14fc8b280e0cb0a076565&amp;source=Advertiser_Kol"/>
    <hyperlink ref="O56" r:id="rId67" display="https://pgy.xiaohongshu.com/solar/pre-trade/blogger-detail/65850350000000001b032296?track_id=kolSearch_e5fdf4f94e694e1a9bde6a2478d7f6fc&amp;source=Advertiser_Kol"/>
    <hyperlink ref="O52" r:id="rId68" display="https://pgy.xiaohongshu.com/solar/pre-trade/blogger-detail/5b2de90311be1024e027ab8c?track_id=kolSearch_3158e6a1bc47489795180c8dfe191109&amp;source=Advertiser_Kol"/>
    <hyperlink ref="O23" r:id="rId69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57" r:id="rId70" display="https://pgy.xiaohongshu.com/solar/pre-trade/blogger-detail/60ab06f4000000000101f416?track_id=kolSearch_ca875e20646f47188b653093cc06d6ec&amp;source=Advertiser_Kol"/>
    <hyperlink ref="O58" r:id="rId71" display="https://pgy.xiaohongshu.com/solar/pre-trade/blogger-detail/63246d3a00000000230275e1?track_id=kolSearch_db75c6afaca64d6c96f30897f7874ac9&amp;source=Advertiser_Kol"/>
    <hyperlink ref="O33" r:id="rId72" display="https://pgy.xiaohongshu.com/solar/pre-trade/blogger-detail/5fd1ec020000000001006b13?track_id=kolSearch_7e9d11a4e305418d8c5f4c52fd234ca4&amp;source=Advertiser_Kol"/>
    <hyperlink ref="O14" r:id="rId73" display="https://pgy.xiaohongshu.com/solar/pre-trade/blogger-detail/5cb427010000000017018af8?track_id=kolSearch_ab957022be6744d494f8577207c844f9&amp;source=Advertiser_Kol"/>
    <hyperlink ref="N53" r:id="rId74" display="https://www.xiaohongshu.com/user/profile/58ca16696a6a69748a40c696"/>
    <hyperlink ref="N55" r:id="rId75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3" r:id="rId76" display="https://pgy.xiaohongshu.com/solar/pre-trade/blogger-detail/58ca16696a6a69748a40c696?track_id=kolSearch_1689b999699e4ce5a4f961b85cdcb912&amp;source=Advertiser_Kol"/>
    <hyperlink ref="O55" r:id="rId77" display="https://pgy.xiaohongshu.com/solar/pre-trade/blogger-detail/61e6675f0000000010009eae?track_id="/>
    <hyperlink ref="O12" r:id="rId78" display="https://pgy.xiaohongshu.com/solar/pre-trade/blogger-detail/5bb1fa139cb8ac00010e9eb6?track_id="/>
    <hyperlink ref="N12" r:id="rId79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2" r:id="rId80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2" r:id="rId81" display="https://pgy.xiaohongshu.com/solar/pre-trade/blogger-detail/5c45ebaa000000001200329e?track_id=kolSearch_9d9ee6e9b8ba4d7388a1ed4c03d910d5&amp;source=Advertiser_Kol"/>
    <hyperlink ref="N28" r:id="rId82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28" r:id="rId83" display="https://pgy.xiaohongshu.com/solar/pre-trade/blogger-detail/5b5d36c7e8ac2b35b1e6213d?track_id="/>
    <hyperlink ref="N48" r:id="rId84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4" r:id="rId85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4" r:id="rId86" display="https://pgy.xiaohongshu.com/solar/pre-trade/blogger-detail/63a6fc520000000027029c8d?track_id="/>
    <hyperlink ref="N49" r:id="rId87" display="https://xhslink.com/m/5UgcvtObNbD"/>
    <hyperlink ref="O49" r:id="rId88" display="https://pgy.xiaohongshu.com/solar/pre-trade/blogger-detail/63135ed0000000001200e086?track_id="/>
    <hyperlink ref="N15" r:id="rId89" display="https://www.xiaohongshu.com/user/profile/5988a08250c4b438e2221e0d" tooltip="https://www.xiaohongshu.com/user/profile/5988a08250c4b438e2221e0d"/>
    <hyperlink ref="O15" r:id="rId90" display="https://pgy.xiaohongshu.com/solar/pre-trade/blogger-detail/5988a08250c4b438e2221e0d?track_id=kolSearch_968f0410d7154a91a274acdd686dea65&amp;source=Advertiser_Kol"/>
    <hyperlink ref="N17" r:id="rId91" display="https://www.xiaohongshu.com/user/profile/5f685cfe0000000001007dcb"/>
    <hyperlink ref="O17" r:id="rId92" display="https://pgy.xiaohongshu.com/solar/pre-trade/blogger-detail/5f685cfe0000000001007dcb?track_id="/>
    <hyperlink ref="N46" r:id="rId93" display="https://www.xiaohongshu.com/user/profile/664b850500000000070048eb"/>
    <hyperlink ref="O46" r:id="rId94" display="https://pgy.xiaohongshu.com/solar/pre-trade/blogger-detail/664b850500000000070048eb?track_id="/>
    <hyperlink ref="O37" r:id="rId95" display="https://pgy.xiaohongshu.com/solar/pre-trade/blogger-detail/5abb4021e8ac2b7f7e18a76c?track_id=kolSearch_91b40460324143b6abd7c0914a1118ed&amp;source=Advertiser_Kol"/>
    <hyperlink ref="N37" r:id="rId96" display="https://www.xiaohongshu.com/user/profile/5abb4021e8ac2b7f7e18a76c"/>
    <hyperlink ref="N19" r:id="rId97" display="https://xhslink.com/m/9bw3tqf40tn" tooltip="https://xhslink.com/m/9bw3tqf40tn"/>
    <hyperlink ref="O19" r:id="rId98" display="https://pgy.xiaohongshu.com/solar/pre-trade/blogger-detail/611d15d0000000000100ad88?track_id=kolSearch_417f4eb217844f4c9e144f13e6dea512&amp;source=Advertiser_Kol"/>
    <hyperlink ref="N31" r:id="rId99" display="https://xhslink.com/m/1X5PzJxj7OU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4"/>
  <sheetViews>
    <sheetView workbookViewId="0">
      <pane ySplit="2" topLeftCell="A3" activePane="bottomLeft" state="frozen"/>
      <selection/>
      <selection pane="bottomLeft" activeCell="H8" sqref="H8"/>
    </sheetView>
  </sheetViews>
  <sheetFormatPr defaultColWidth="9.81666666666667" defaultRowHeight="13.5"/>
  <cols>
    <col min="1" max="1" width="9" style="33"/>
    <col min="2" max="3" width="7.625" style="33" customWidth="1"/>
    <col min="4" max="4" width="33.2666666666667" style="33" customWidth="1"/>
    <col min="5" max="5" width="16.2583333333333" style="33" customWidth="1"/>
    <col min="6" max="7" width="15.1416666666667" style="33" customWidth="1"/>
    <col min="8" max="8" width="20" style="35" customWidth="1"/>
    <col min="9" max="9" width="11.3833333333333" style="33" customWidth="1"/>
    <col min="10" max="16369" width="9" style="33"/>
    <col min="16370" max="16374" width="9.64166666666667" style="33"/>
    <col min="16375" max="16384" width="9.81666666666667" style="33"/>
  </cols>
  <sheetData>
    <row r="1" s="33" customFormat="1" ht="70" customHeight="1" spans="1:9">
      <c r="A1" s="7" t="s">
        <v>1571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5" t="s">
        <v>1572</v>
      </c>
      <c r="B2" s="85" t="s">
        <v>7</v>
      </c>
      <c r="C2" s="85" t="s">
        <v>9</v>
      </c>
      <c r="D2" s="85" t="s">
        <v>1573</v>
      </c>
      <c r="E2" s="85" t="s">
        <v>1574</v>
      </c>
      <c r="F2" s="86" t="s">
        <v>1575</v>
      </c>
      <c r="G2" s="85" t="s">
        <v>1576</v>
      </c>
      <c r="H2" s="85" t="s">
        <v>1577</v>
      </c>
      <c r="I2" s="85" t="s">
        <v>1578</v>
      </c>
    </row>
    <row r="3" s="1" customFormat="1" ht="40" customHeight="1" spans="1:9">
      <c r="A3" s="62" t="s">
        <v>1247</v>
      </c>
      <c r="B3" s="38">
        <v>1</v>
      </c>
      <c r="C3" s="87" t="str">
        <f>_xlfn.DISPIMG("ID_22FABF50CE8D4FE4A2A41D38745F4816",1)</f>
        <v>=DISPIMG("ID_22FABF50CE8D4FE4A2A41D38745F4816",1)</v>
      </c>
      <c r="D3" s="87" t="s">
        <v>32</v>
      </c>
      <c r="E3" s="87" t="s">
        <v>1579</v>
      </c>
      <c r="F3" s="88">
        <v>2192217</v>
      </c>
      <c r="G3" s="41">
        <v>1800000</v>
      </c>
      <c r="H3" s="41">
        <v>400000</v>
      </c>
      <c r="I3" s="38" t="s">
        <v>1580</v>
      </c>
    </row>
    <row r="4" s="1" customFormat="1" ht="40" customHeight="1" spans="1:9">
      <c r="A4" s="67" t="s">
        <v>1093</v>
      </c>
      <c r="B4" s="44">
        <v>2</v>
      </c>
      <c r="C4" s="44" t="str">
        <f>_xlfn.DISPIMG("ID_AAAD5394AEDE4534B3B6770F136166B8",1)</f>
        <v>=DISPIMG("ID_AAAD5394AEDE4534B3B6770F136166B8",1)</v>
      </c>
      <c r="D4" s="43" t="s">
        <v>1581</v>
      </c>
      <c r="E4" s="43" t="s">
        <v>1582</v>
      </c>
      <c r="F4" s="89">
        <v>433199</v>
      </c>
      <c r="G4" s="47">
        <v>3000</v>
      </c>
      <c r="H4" s="47">
        <v>2000</v>
      </c>
      <c r="I4" s="44" t="s">
        <v>1580</v>
      </c>
    </row>
    <row r="5" s="1" customFormat="1" ht="40" customHeight="1" spans="1:9">
      <c r="A5" s="62" t="s">
        <v>926</v>
      </c>
      <c r="B5" s="38">
        <v>3</v>
      </c>
      <c r="C5" s="87" t="str">
        <f>_xlfn.DISPIMG("ID_E5744359F8904C5A8E437F348DF11B4C",1)</f>
        <v>=DISPIMG("ID_E5744359F8904C5A8E437F348DF11B4C",1)</v>
      </c>
      <c r="D5" s="87" t="s">
        <v>1583</v>
      </c>
      <c r="E5" s="87" t="s">
        <v>1584</v>
      </c>
      <c r="F5" s="88">
        <v>49168</v>
      </c>
      <c r="G5" s="41">
        <v>25000</v>
      </c>
      <c r="H5" s="41" t="s">
        <v>40</v>
      </c>
      <c r="I5" s="38" t="s">
        <v>1585</v>
      </c>
    </row>
    <row r="6" s="1" customFormat="1" ht="40" customHeight="1" spans="1:9">
      <c r="A6" s="67" t="s">
        <v>926</v>
      </c>
      <c r="B6" s="44">
        <v>4</v>
      </c>
      <c r="C6" s="44" t="str">
        <f>_xlfn.DISPIMG("ID_13B7E4DB04D24FA7B0DCF78C29F469A4",1)</f>
        <v>=DISPIMG("ID_13B7E4DB04D24FA7B0DCF78C29F469A4",1)</v>
      </c>
      <c r="D6" s="43" t="s">
        <v>1586</v>
      </c>
      <c r="E6" s="43" t="s">
        <v>1587</v>
      </c>
      <c r="F6" s="89">
        <v>47357</v>
      </c>
      <c r="G6" s="47">
        <v>48000</v>
      </c>
      <c r="H6" s="47" t="s">
        <v>40</v>
      </c>
      <c r="I6" s="44" t="s">
        <v>1580</v>
      </c>
    </row>
    <row r="7" s="1" customFormat="1" ht="40" customHeight="1" spans="1:9">
      <c r="A7" s="62" t="s">
        <v>72</v>
      </c>
      <c r="B7" s="38">
        <v>5</v>
      </c>
      <c r="C7" s="61" t="str">
        <f>_xlfn.DISPIMG("ID_659725E2044440AC98B018E5EF985A4F",1)</f>
        <v>=DISPIMG("ID_659725E2044440AC98B018E5EF985A4F",1)</v>
      </c>
      <c r="D7" s="87" t="s">
        <v>57</v>
      </c>
      <c r="E7" s="87" t="s">
        <v>1588</v>
      </c>
      <c r="F7" s="88">
        <v>119409</v>
      </c>
      <c r="G7" s="41">
        <v>220000</v>
      </c>
      <c r="H7" s="41">
        <v>30000</v>
      </c>
      <c r="I7" s="44" t="s">
        <v>1580</v>
      </c>
    </row>
    <row r="8" s="1" customFormat="1" ht="40" customHeight="1" spans="1:9">
      <c r="A8" s="67" t="s">
        <v>1589</v>
      </c>
      <c r="B8" s="44">
        <v>6</v>
      </c>
      <c r="C8" s="44" t="str">
        <f>_xlfn.DISPIMG("ID_A934BBBA568A4A7AAC0C7DC4E37B6F9F",1)</f>
        <v>=DISPIMG("ID_A934BBBA568A4A7AAC0C7DC4E37B6F9F",1)</v>
      </c>
      <c r="D8" s="43" t="s">
        <v>1027</v>
      </c>
      <c r="E8" s="43" t="s">
        <v>1590</v>
      </c>
      <c r="F8" s="89">
        <v>18040</v>
      </c>
      <c r="G8" s="47">
        <v>2000</v>
      </c>
      <c r="H8" s="47">
        <v>1000</v>
      </c>
      <c r="I8" s="44" t="s">
        <v>1580</v>
      </c>
    </row>
    <row r="9" s="1" customFormat="1" ht="40" customHeight="1" spans="1:9">
      <c r="A9" s="62" t="s">
        <v>305</v>
      </c>
      <c r="B9" s="38">
        <v>7</v>
      </c>
      <c r="C9" s="87" t="str">
        <f>_xlfn.DISPIMG("ID_CD0F50CCCD824C92AFDEBB40BF3807E8",1)</f>
        <v>=DISPIMG("ID_CD0F50CCCD824C92AFDEBB40BF3807E8",1)</v>
      </c>
      <c r="D9" s="87" t="s">
        <v>1591</v>
      </c>
      <c r="E9" s="87" t="s">
        <v>1592</v>
      </c>
      <c r="F9" s="88">
        <v>138641</v>
      </c>
      <c r="G9" s="41">
        <v>60000</v>
      </c>
      <c r="H9" s="41" t="s">
        <v>40</v>
      </c>
      <c r="I9" s="38" t="s">
        <v>1580</v>
      </c>
    </row>
    <row r="10" s="1" customFormat="1" ht="40" customHeight="1" spans="1:9">
      <c r="A10" s="67" t="s">
        <v>305</v>
      </c>
      <c r="B10" s="44">
        <v>8</v>
      </c>
      <c r="C10" s="44" t="str">
        <f>_xlfn.DISPIMG("ID_A962B447B9374ACDB54DA6072F69A698",1)</f>
        <v>=DISPIMG("ID_A962B447B9374ACDB54DA6072F69A698",1)</v>
      </c>
      <c r="D10" s="43" t="s">
        <v>246</v>
      </c>
      <c r="E10" s="43" t="s">
        <v>1593</v>
      </c>
      <c r="F10" s="89">
        <v>847802</v>
      </c>
      <c r="G10" s="47">
        <v>150000</v>
      </c>
      <c r="H10" s="47">
        <v>15000</v>
      </c>
      <c r="I10" s="44" t="s">
        <v>1580</v>
      </c>
    </row>
    <row r="11" s="1" customFormat="1" ht="40" customHeight="1" spans="1:9">
      <c r="A11" s="62" t="s">
        <v>305</v>
      </c>
      <c r="B11" s="38">
        <v>9</v>
      </c>
      <c r="C11" s="38" t="str">
        <f>_xlfn.DISPIMG("ID_3F01711F02924B928AF22A3322088269",1)</f>
        <v>=DISPIMG("ID_3F01711F02924B928AF22A3322088269",1)</v>
      </c>
      <c r="D11" s="87" t="s">
        <v>257</v>
      </c>
      <c r="E11" s="87" t="s">
        <v>1594</v>
      </c>
      <c r="F11" s="88">
        <v>494204</v>
      </c>
      <c r="G11" s="41">
        <v>200000</v>
      </c>
      <c r="H11" s="41">
        <v>25000</v>
      </c>
      <c r="I11" s="38" t="s">
        <v>1580</v>
      </c>
    </row>
    <row r="12" s="1" customFormat="1" ht="40" customHeight="1" spans="1:9">
      <c r="A12" s="67" t="s">
        <v>305</v>
      </c>
      <c r="B12" s="44">
        <v>10</v>
      </c>
      <c r="C12" s="44" t="str">
        <f>_xlfn.DISPIMG("ID_96C9A41FE3F94ADC8CC27D709951F53C",1)</f>
        <v>=DISPIMG("ID_96C9A41FE3F94ADC8CC27D709951F53C",1)</v>
      </c>
      <c r="D12" s="43" t="s">
        <v>1595</v>
      </c>
      <c r="E12" s="43" t="s">
        <v>1596</v>
      </c>
      <c r="F12" s="89">
        <v>138068</v>
      </c>
      <c r="G12" s="47">
        <v>60000</v>
      </c>
      <c r="H12" s="47">
        <v>10000</v>
      </c>
      <c r="I12" s="44" t="s">
        <v>1580</v>
      </c>
    </row>
    <row r="13" s="1" customFormat="1" ht="40" customHeight="1" spans="1:9">
      <c r="A13" s="62" t="s">
        <v>305</v>
      </c>
      <c r="B13" s="38">
        <v>11</v>
      </c>
      <c r="C13" s="38" t="str">
        <f>_xlfn.DISPIMG("ID_51D64287C69C4E72B4DC568CA5C0A8DB",1)</f>
        <v>=DISPIMG("ID_51D64287C69C4E72B4DC568CA5C0A8DB",1)</v>
      </c>
      <c r="D13" s="87" t="s">
        <v>1597</v>
      </c>
      <c r="E13" s="87" t="s">
        <v>1598</v>
      </c>
      <c r="F13" s="88">
        <v>170891</v>
      </c>
      <c r="G13" s="41">
        <v>98000</v>
      </c>
      <c r="H13" s="41">
        <v>15000</v>
      </c>
      <c r="I13" s="38" t="s">
        <v>1585</v>
      </c>
    </row>
    <row r="14" s="1" customFormat="1" ht="40" customHeight="1" spans="1:9">
      <c r="A14" s="67" t="s">
        <v>305</v>
      </c>
      <c r="B14" s="44">
        <v>12</v>
      </c>
      <c r="C14" s="44" t="str">
        <f>_xlfn.DISPIMG("ID_A01A56B69EC04AEAA2EB34AE6E1AFE2E",1)</f>
        <v>=DISPIMG("ID_A01A56B69EC04AEAA2EB34AE6E1AFE2E",1)</v>
      </c>
      <c r="D14" s="43" t="s">
        <v>223</v>
      </c>
      <c r="E14" s="43" t="s">
        <v>1599</v>
      </c>
      <c r="F14" s="89">
        <v>65460</v>
      </c>
      <c r="G14" s="47">
        <v>5000</v>
      </c>
      <c r="H14" s="47">
        <v>1000</v>
      </c>
      <c r="I14" s="44" t="s">
        <v>1580</v>
      </c>
    </row>
    <row r="15" s="1" customFormat="1" ht="40" customHeight="1" spans="1:9">
      <c r="A15" s="62" t="s">
        <v>305</v>
      </c>
      <c r="B15" s="38">
        <v>13</v>
      </c>
      <c r="C15" s="38" t="str">
        <f>_xlfn.DISPIMG("ID_C0369C1D442B4E6DBE6E0A428034CC10",1)</f>
        <v>=DISPIMG("ID_C0369C1D442B4E6DBE6E0A428034CC10",1)</v>
      </c>
      <c r="D15" s="87" t="s">
        <v>167</v>
      </c>
      <c r="E15" s="87" t="s">
        <v>1600</v>
      </c>
      <c r="F15" s="88">
        <v>77837</v>
      </c>
      <c r="G15" s="41">
        <v>25000</v>
      </c>
      <c r="H15" s="41">
        <v>1000</v>
      </c>
      <c r="I15" s="38" t="s">
        <v>1580</v>
      </c>
    </row>
    <row r="16" s="1" customFormat="1" ht="40" customHeight="1" spans="1:9">
      <c r="A16" s="67" t="s">
        <v>305</v>
      </c>
      <c r="B16" s="44">
        <v>14</v>
      </c>
      <c r="C16" s="44" t="str">
        <f>_xlfn.DISPIMG("ID_FB1725C3E8784889B3C65B0A2BFFCEF2",1)</f>
        <v>=DISPIMG("ID_FB1725C3E8784889B3C65B0A2BFFCEF2",1)</v>
      </c>
      <c r="D16" s="43" t="s">
        <v>278</v>
      </c>
      <c r="E16" s="43" t="s">
        <v>1601</v>
      </c>
      <c r="F16" s="89">
        <v>133946</v>
      </c>
      <c r="G16" s="47">
        <v>30000</v>
      </c>
      <c r="H16" s="47">
        <v>5000</v>
      </c>
      <c r="I16" s="44" t="s">
        <v>1580</v>
      </c>
    </row>
    <row r="17" s="1" customFormat="1" ht="40" customHeight="1" spans="1:9">
      <c r="A17" s="62" t="s">
        <v>305</v>
      </c>
      <c r="B17" s="38">
        <v>15</v>
      </c>
      <c r="C17" s="38" t="str">
        <f>_xlfn.DISPIMG("ID_DAEAD40171974277989C87D4F39C2C7E",1)</f>
        <v>=DISPIMG("ID_DAEAD40171974277989C87D4F39C2C7E",1)</v>
      </c>
      <c r="D17" s="87" t="s">
        <v>1602</v>
      </c>
      <c r="E17" s="87" t="s">
        <v>1603</v>
      </c>
      <c r="F17" s="88">
        <v>54415</v>
      </c>
      <c r="G17" s="41">
        <v>10000</v>
      </c>
      <c r="H17" s="41">
        <v>1000</v>
      </c>
      <c r="I17" s="38" t="s">
        <v>1580</v>
      </c>
    </row>
    <row r="18" s="1" customFormat="1" ht="40" customHeight="1" spans="1:9">
      <c r="A18" s="67" t="s">
        <v>447</v>
      </c>
      <c r="B18" s="44">
        <v>16</v>
      </c>
      <c r="C18" s="44" t="str">
        <f>_xlfn.DISPIMG("ID_15DF3A6DBEC148C686645E22E40F4E4C",1)</f>
        <v>=DISPIMG("ID_15DF3A6DBEC148C686645E22E40F4E4C",1)</v>
      </c>
      <c r="D18" s="43" t="s">
        <v>1604</v>
      </c>
      <c r="E18" s="43" t="s">
        <v>1605</v>
      </c>
      <c r="F18" s="89">
        <v>101440</v>
      </c>
      <c r="G18" s="47">
        <v>10000</v>
      </c>
      <c r="H18" s="47" t="s">
        <v>40</v>
      </c>
      <c r="I18" s="44" t="s">
        <v>1580</v>
      </c>
    </row>
    <row r="19" s="1" customFormat="1" ht="40" customHeight="1" spans="1:9">
      <c r="A19" s="62" t="s">
        <v>447</v>
      </c>
      <c r="B19" s="38">
        <v>17</v>
      </c>
      <c r="C19" s="38" t="str">
        <f>_xlfn.DISPIMG("ID_F5EA9D11E33840EFBE3B8CBD3192C044",1)</f>
        <v>=DISPIMG("ID_F5EA9D11E33840EFBE3B8CBD3192C044",1)</v>
      </c>
      <c r="D19" s="87" t="s">
        <v>1606</v>
      </c>
      <c r="E19" s="87" t="s">
        <v>1607</v>
      </c>
      <c r="F19" s="88">
        <v>23235</v>
      </c>
      <c r="G19" s="41">
        <v>10000</v>
      </c>
      <c r="H19" s="41">
        <v>500</v>
      </c>
      <c r="I19" s="38" t="s">
        <v>1580</v>
      </c>
    </row>
    <row r="20" s="1" customFormat="1" ht="40" customHeight="1" spans="1:9">
      <c r="A20" s="67" t="s">
        <v>447</v>
      </c>
      <c r="B20" s="44">
        <v>18</v>
      </c>
      <c r="C20" s="44" t="str">
        <f>_xlfn.DISPIMG("ID_2484A8D868EC425E8939737377034235",1)</f>
        <v>=DISPIMG("ID_2484A8D868EC425E8939737377034235",1)</v>
      </c>
      <c r="D20" s="43" t="s">
        <v>1608</v>
      </c>
      <c r="E20" s="43" t="s">
        <v>1609</v>
      </c>
      <c r="F20" s="89">
        <v>4396</v>
      </c>
      <c r="G20" s="47" t="s">
        <v>40</v>
      </c>
      <c r="H20" s="47">
        <v>500</v>
      </c>
      <c r="I20" s="44" t="s">
        <v>1585</v>
      </c>
    </row>
    <row r="21" s="1" customFormat="1" ht="40" customHeight="1" spans="1:9">
      <c r="A21" s="62" t="s">
        <v>1610</v>
      </c>
      <c r="B21" s="38">
        <v>19</v>
      </c>
      <c r="C21" t="str">
        <f>_xlfn.DISPIMG("ID_9CCC04877E4E49F7946F3119072DDBCD",1)</f>
        <v>=DISPIMG("ID_9CCC04877E4E49F7946F3119072DDBCD",1)</v>
      </c>
      <c r="D21" s="87" t="s">
        <v>1611</v>
      </c>
      <c r="E21" s="87" t="s">
        <v>1612</v>
      </c>
      <c r="F21" s="88">
        <v>171305</v>
      </c>
      <c r="G21" s="41">
        <v>4176</v>
      </c>
      <c r="H21" s="41" t="s">
        <v>40</v>
      </c>
      <c r="I21" s="38" t="s">
        <v>1580</v>
      </c>
    </row>
    <row r="22" s="1" customFormat="1" ht="40" customHeight="1" spans="1:9">
      <c r="A22" s="67" t="s">
        <v>1610</v>
      </c>
      <c r="B22" s="44">
        <v>20</v>
      </c>
      <c r="C22" s="44" t="str">
        <f>_xlfn.DISPIMG("ID_DA11735B583344F4A82F2C67BAA8654D",1)</f>
        <v>=DISPIMG("ID_DA11735B583344F4A82F2C67BAA8654D",1)</v>
      </c>
      <c r="D22" s="43" t="s">
        <v>1613</v>
      </c>
      <c r="E22" s="43" t="s">
        <v>1614</v>
      </c>
      <c r="F22" s="89">
        <v>169254</v>
      </c>
      <c r="G22" s="47">
        <v>25000</v>
      </c>
      <c r="H22" s="47">
        <v>5000</v>
      </c>
      <c r="I22" s="44" t="s">
        <v>1580</v>
      </c>
    </row>
    <row r="23" s="1" customFormat="1" ht="40" customHeight="1" spans="1:9">
      <c r="A23" s="67" t="s">
        <v>1610</v>
      </c>
      <c r="B23" s="44">
        <v>21</v>
      </c>
      <c r="C23" s="44" t="str">
        <f>_xlfn.DISPIMG("ID_A290CB62DF864653937157D52A36932D",1)</f>
        <v>=DISPIMG("ID_A290CB62DF864653937157D52A36932D",1)</v>
      </c>
      <c r="D23" s="43" t="s">
        <v>1615</v>
      </c>
      <c r="E23" s="43" t="s">
        <v>1616</v>
      </c>
      <c r="F23" s="89">
        <v>67216</v>
      </c>
      <c r="G23" s="47">
        <v>20000</v>
      </c>
      <c r="H23" s="47">
        <v>3000</v>
      </c>
      <c r="I23" s="44" t="s">
        <v>1585</v>
      </c>
    </row>
    <row r="24" s="1" customFormat="1" ht="40" customHeight="1" spans="1:9">
      <c r="A24" s="90" t="s">
        <v>643</v>
      </c>
      <c r="B24" s="51">
        <v>22</v>
      </c>
      <c r="C24" s="51" t="str">
        <f>_xlfn.DISPIMG("ID_626A900E97CD4D76BD090642741F6160",1)</f>
        <v>=DISPIMG("ID_626A900E97CD4D76BD090642741F6160",1)</v>
      </c>
      <c r="D24" s="53" t="s">
        <v>1617</v>
      </c>
      <c r="E24" s="53" t="s">
        <v>1618</v>
      </c>
      <c r="F24" s="91">
        <v>97349</v>
      </c>
      <c r="G24" s="55">
        <v>150000</v>
      </c>
      <c r="H24" s="55">
        <v>5000</v>
      </c>
      <c r="I24" s="51" t="s">
        <v>1580</v>
      </c>
    </row>
  </sheetData>
  <autoFilter xmlns:etc="http://www.wps.cn/officeDocument/2017/etCustomData" ref="A2:I24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N29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D9" sqref="D9"/>
    </sheetView>
  </sheetViews>
  <sheetFormatPr defaultColWidth="9.81666666666667" defaultRowHeight="13.5"/>
  <cols>
    <col min="1" max="1" width="7.725" style="33" customWidth="1"/>
    <col min="2" max="2" width="9.14166666666667" style="33" customWidth="1"/>
    <col min="3" max="3" width="7.625" style="33" customWidth="1"/>
    <col min="4" max="4" width="24.3583333333333" style="33" customWidth="1"/>
    <col min="5" max="5" width="15.7583333333333" style="33" customWidth="1"/>
    <col min="6" max="6" width="18.7583333333333" style="33" customWidth="1"/>
    <col min="7" max="7" width="11.3583333333333" style="74" customWidth="1"/>
    <col min="8" max="8" width="11.3583333333333" style="34" customWidth="1"/>
    <col min="9" max="9" width="11.3583333333333" style="33" customWidth="1"/>
    <col min="10" max="10" width="14.125" style="75" customWidth="1"/>
    <col min="11" max="11" width="14.5" style="75" customWidth="1"/>
    <col min="12" max="12" width="7.38333333333333" style="33" customWidth="1"/>
    <col min="13" max="13" width="13.3583333333333" style="33" customWidth="1"/>
    <col min="14" max="14" width="37.6333333333333" style="33" customWidth="1"/>
    <col min="15" max="16377" width="9.64166666666667" style="1"/>
    <col min="16378" max="16384" width="9.81666666666667" style="1"/>
  </cols>
  <sheetData>
    <row r="1" s="1" customFormat="1" ht="70" customHeight="1" spans="1:14">
      <c r="A1" s="7" t="s">
        <v>1619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0" customHeight="1" spans="1:14">
      <c r="A2" s="76" t="s">
        <v>1150</v>
      </c>
      <c r="B2" s="76" t="s">
        <v>7</v>
      </c>
      <c r="C2" s="76" t="s">
        <v>9</v>
      </c>
      <c r="D2" s="76" t="s">
        <v>1620</v>
      </c>
      <c r="E2" s="76" t="s">
        <v>1621</v>
      </c>
      <c r="F2" s="76" t="s">
        <v>1622</v>
      </c>
      <c r="G2" s="77" t="s">
        <v>1623</v>
      </c>
      <c r="H2" s="78" t="s">
        <v>18</v>
      </c>
      <c r="I2" s="76" t="s">
        <v>1624</v>
      </c>
      <c r="J2" s="76" t="s">
        <v>1625</v>
      </c>
      <c r="K2" s="76" t="s">
        <v>1626</v>
      </c>
      <c r="L2" s="76" t="s">
        <v>30</v>
      </c>
      <c r="M2" s="76" t="s">
        <v>1627</v>
      </c>
      <c r="N2" s="79" t="s">
        <v>1628</v>
      </c>
    </row>
    <row r="3" s="1" customFormat="1" ht="40" customHeight="1" spans="1:14">
      <c r="A3" s="14" t="s">
        <v>1162</v>
      </c>
      <c r="B3" s="14">
        <v>1</v>
      </c>
      <c r="C3" s="14" t="str">
        <f>_xlfn.DISPIMG("ID_DF88F420442B491A9C2F559EA8524D3B",1)</f>
        <v>=DISPIMG("ID_DF88F420442B491A9C2F559EA8524D3B",1)</v>
      </c>
      <c r="D3" s="14" t="s">
        <v>32</v>
      </c>
      <c r="E3" s="14">
        <v>1267663386</v>
      </c>
      <c r="F3" s="14" t="s">
        <v>1629</v>
      </c>
      <c r="G3" s="80">
        <v>7855159</v>
      </c>
      <c r="H3" s="17" t="s">
        <v>40</v>
      </c>
      <c r="I3" s="21" t="s">
        <v>40</v>
      </c>
      <c r="J3" s="21" t="s">
        <v>40</v>
      </c>
      <c r="K3" s="21">
        <v>1800000</v>
      </c>
      <c r="L3" s="14" t="s">
        <v>45</v>
      </c>
      <c r="M3" s="14" t="s">
        <v>1580</v>
      </c>
      <c r="N3" s="81" t="s">
        <v>1630</v>
      </c>
    </row>
    <row r="4" s="1" customFormat="1" ht="40" customHeight="1" spans="1:14">
      <c r="A4" s="14" t="s">
        <v>1631</v>
      </c>
      <c r="B4" s="14">
        <v>3</v>
      </c>
      <c r="C4" s="14" t="str">
        <f>_xlfn.DISPIMG("ID_842E70D6C5444F43B9B07890F4642BA6",1)</f>
        <v>=DISPIMG("ID_842E70D6C5444F43B9B07890F4642BA6",1)</v>
      </c>
      <c r="D4" s="14" t="s">
        <v>661</v>
      </c>
      <c r="E4" s="14">
        <v>1478432811</v>
      </c>
      <c r="F4" s="14" t="s">
        <v>117</v>
      </c>
      <c r="G4" s="80">
        <v>2375469</v>
      </c>
      <c r="H4" s="17">
        <v>555</v>
      </c>
      <c r="I4" s="21">
        <v>37000</v>
      </c>
      <c r="J4" s="21">
        <v>37000</v>
      </c>
      <c r="K4" s="21">
        <v>78000</v>
      </c>
      <c r="L4" s="14" t="s">
        <v>45</v>
      </c>
      <c r="M4" s="14" t="s">
        <v>1580</v>
      </c>
      <c r="N4" s="81" t="s">
        <v>1632</v>
      </c>
    </row>
    <row r="5" s="1" customFormat="1" ht="40" customHeight="1" spans="1:14">
      <c r="A5" s="14" t="s">
        <v>305</v>
      </c>
      <c r="B5" s="14">
        <v>4</v>
      </c>
      <c r="C5" s="14" t="str">
        <f>_xlfn.DISPIMG("ID_5465629EB21547AC9697D20C626B9ADE",1)</f>
        <v>=DISPIMG("ID_5465629EB21547AC9697D20C626B9ADE",1)</v>
      </c>
      <c r="D5" s="14" t="s">
        <v>246</v>
      </c>
      <c r="E5" s="14">
        <v>1261372872</v>
      </c>
      <c r="F5" s="14" t="s">
        <v>1633</v>
      </c>
      <c r="G5" s="80">
        <v>8624205</v>
      </c>
      <c r="H5" s="17" t="s">
        <v>40</v>
      </c>
      <c r="I5" s="21">
        <v>140000</v>
      </c>
      <c r="J5" s="21">
        <v>160000</v>
      </c>
      <c r="K5" s="21">
        <v>210000</v>
      </c>
      <c r="L5" s="14" t="s">
        <v>45</v>
      </c>
      <c r="M5" s="14" t="s">
        <v>1580</v>
      </c>
      <c r="N5" s="81" t="s">
        <v>1634</v>
      </c>
    </row>
    <row r="6" s="1" customFormat="1" ht="40" customHeight="1" spans="1:14">
      <c r="A6" s="14" t="s">
        <v>305</v>
      </c>
      <c r="B6" s="14">
        <v>5</v>
      </c>
      <c r="C6" s="14" t="str">
        <f>_xlfn.DISPIMG("ID_26D1295F321E48D4BF3B83DA8D2BEDF0",1)</f>
        <v>=DISPIMG("ID_26D1295F321E48D4BF3B83DA8D2BEDF0",1)</v>
      </c>
      <c r="D6" s="14" t="s">
        <v>257</v>
      </c>
      <c r="E6" s="14">
        <v>1706040944</v>
      </c>
      <c r="F6" s="14" t="s">
        <v>339</v>
      </c>
      <c r="G6" s="80">
        <v>4110711</v>
      </c>
      <c r="H6" s="17" t="s">
        <v>40</v>
      </c>
      <c r="I6" s="21">
        <v>120000</v>
      </c>
      <c r="J6" s="21">
        <v>200000</v>
      </c>
      <c r="K6" s="21">
        <v>250000</v>
      </c>
      <c r="L6" s="14" t="s">
        <v>45</v>
      </c>
      <c r="M6" s="14" t="s">
        <v>1580</v>
      </c>
      <c r="N6" s="81" t="s">
        <v>1635</v>
      </c>
    </row>
    <row r="7" s="1" customFormat="1" ht="40" customHeight="1" spans="1:14">
      <c r="A7" s="14" t="s">
        <v>305</v>
      </c>
      <c r="B7" s="14">
        <v>6</v>
      </c>
      <c r="C7" s="14" t="str">
        <f>_xlfn.DISPIMG("ID_EA258259F9F540969492DBE4307EC17C",1)</f>
        <v>=DISPIMG("ID_EA258259F9F540969492DBE4307EC17C",1)</v>
      </c>
      <c r="D7" s="14" t="s">
        <v>315</v>
      </c>
      <c r="E7" s="14">
        <v>1531106761</v>
      </c>
      <c r="F7" s="14" t="s">
        <v>339</v>
      </c>
      <c r="G7" s="80">
        <v>1677731</v>
      </c>
      <c r="H7" s="17" t="s">
        <v>40</v>
      </c>
      <c r="I7" s="21" t="s">
        <v>40</v>
      </c>
      <c r="J7" s="21">
        <v>58000</v>
      </c>
      <c r="K7" s="21">
        <v>70000</v>
      </c>
      <c r="L7" s="14" t="s">
        <v>45</v>
      </c>
      <c r="M7" s="14" t="s">
        <v>1580</v>
      </c>
      <c r="N7" s="81" t="s">
        <v>1636</v>
      </c>
    </row>
    <row r="8" s="1" customFormat="1" ht="40" customHeight="1" spans="1:14">
      <c r="A8" s="14" t="s">
        <v>305</v>
      </c>
      <c r="B8" s="14">
        <v>7</v>
      </c>
      <c r="C8" t="str">
        <f>_xlfn.DISPIMG("ID_9D4BCA200A3A4EB8A0D73854126E75BE",1)</f>
        <v>=DISPIMG("ID_9D4BCA200A3A4EB8A0D73854126E75BE",1)</v>
      </c>
      <c r="D8" s="14" t="s">
        <v>1591</v>
      </c>
      <c r="E8" s="14">
        <v>67395245</v>
      </c>
      <c r="F8" s="14" t="s">
        <v>1637</v>
      </c>
      <c r="G8" s="80">
        <v>7797898</v>
      </c>
      <c r="H8" s="17" t="s">
        <v>40</v>
      </c>
      <c r="I8" s="21">
        <v>79000</v>
      </c>
      <c r="J8" s="21">
        <v>109000</v>
      </c>
      <c r="K8" s="21">
        <v>129000</v>
      </c>
      <c r="L8" s="14" t="s">
        <v>45</v>
      </c>
      <c r="M8" s="14" t="s">
        <v>1580</v>
      </c>
      <c r="N8" s="81" t="s">
        <v>1638</v>
      </c>
    </row>
    <row r="9" s="1" customFormat="1" ht="40" customHeight="1" spans="1:14">
      <c r="A9" s="14" t="s">
        <v>305</v>
      </c>
      <c r="B9" s="14">
        <v>8</v>
      </c>
      <c r="C9" s="14" t="str">
        <f>_xlfn.DISPIMG("ID_44D20FEE6BF8478AA7A833989426D7D3",1)</f>
        <v>=DISPIMG("ID_44D20FEE6BF8478AA7A833989426D7D3",1)</v>
      </c>
      <c r="D9" s="14" t="s">
        <v>1639</v>
      </c>
      <c r="E9" s="14">
        <v>1847953240</v>
      </c>
      <c r="F9" s="14" t="s">
        <v>1640</v>
      </c>
      <c r="G9" s="80">
        <v>1350738</v>
      </c>
      <c r="H9" s="17" t="s">
        <v>40</v>
      </c>
      <c r="I9" s="21">
        <v>50000</v>
      </c>
      <c r="J9" s="21">
        <v>50000</v>
      </c>
      <c r="K9" s="21">
        <v>65000</v>
      </c>
      <c r="L9" s="14" t="s">
        <v>45</v>
      </c>
      <c r="M9" s="14" t="s">
        <v>1580</v>
      </c>
      <c r="N9" s="81" t="s">
        <v>1641</v>
      </c>
    </row>
    <row r="10" s="1" customFormat="1" ht="40" customHeight="1" spans="1:14">
      <c r="A10" s="14" t="s">
        <v>305</v>
      </c>
      <c r="B10" s="14">
        <v>9</v>
      </c>
      <c r="C10" s="14" t="str">
        <f>_xlfn.DISPIMG("ID_8503B5DF2ACE4D4F8E79C83170350E98",1)</f>
        <v>=DISPIMG("ID_8503B5DF2ACE4D4F8E79C83170350E98",1)</v>
      </c>
      <c r="D10" s="14" t="s">
        <v>223</v>
      </c>
      <c r="E10" s="14">
        <v>2371429600</v>
      </c>
      <c r="F10" s="14" t="s">
        <v>339</v>
      </c>
      <c r="G10" s="80">
        <v>772486</v>
      </c>
      <c r="H10" s="17" t="s">
        <v>40</v>
      </c>
      <c r="I10" s="21" t="s">
        <v>40</v>
      </c>
      <c r="J10" s="21">
        <v>30000</v>
      </c>
      <c r="K10" s="21">
        <v>35000</v>
      </c>
      <c r="L10" s="14" t="s">
        <v>45</v>
      </c>
      <c r="M10" s="14" t="s">
        <v>1580</v>
      </c>
      <c r="N10" s="81" t="s">
        <v>1642</v>
      </c>
    </row>
    <row r="11" s="1" customFormat="1" ht="40" customHeight="1" spans="1:14">
      <c r="A11" s="14" t="s">
        <v>305</v>
      </c>
      <c r="B11" s="14">
        <v>10</v>
      </c>
      <c r="C11" s="14" t="str">
        <f>_xlfn.DISPIMG("ID_F25E324AE5054E67926089463596587E",1)</f>
        <v>=DISPIMG("ID_F25E324AE5054E67926089463596587E",1)</v>
      </c>
      <c r="D11" s="14" t="s">
        <v>1643</v>
      </c>
      <c r="E11" s="14">
        <v>1488857521</v>
      </c>
      <c r="F11" s="14" t="s">
        <v>1644</v>
      </c>
      <c r="G11" s="80">
        <v>1023949</v>
      </c>
      <c r="H11" s="17">
        <v>556</v>
      </c>
      <c r="I11" s="21">
        <v>30000</v>
      </c>
      <c r="J11" s="21">
        <v>30000</v>
      </c>
      <c r="K11" s="21">
        <v>55000</v>
      </c>
      <c r="L11" s="14" t="s">
        <v>45</v>
      </c>
      <c r="M11" s="14" t="s">
        <v>1580</v>
      </c>
      <c r="N11" s="81" t="s">
        <v>1645</v>
      </c>
    </row>
    <row r="12" s="1" customFormat="1" ht="40" customHeight="1" spans="1:14">
      <c r="A12" s="14" t="s">
        <v>305</v>
      </c>
      <c r="B12" s="14">
        <v>11</v>
      </c>
      <c r="C12" s="14" t="str">
        <f>_xlfn.DISPIMG("ID_025CA94001EB422FA8A8B10D9D24F3E4",1)</f>
        <v>=DISPIMG("ID_025CA94001EB422FA8A8B10D9D24F3E4",1)</v>
      </c>
      <c r="D12" s="14" t="s">
        <v>336</v>
      </c>
      <c r="E12" s="14">
        <v>1959288705</v>
      </c>
      <c r="F12" s="14" t="s">
        <v>339</v>
      </c>
      <c r="G12" s="80">
        <v>490273</v>
      </c>
      <c r="H12" s="17" t="s">
        <v>40</v>
      </c>
      <c r="I12" s="21" t="s">
        <v>40</v>
      </c>
      <c r="J12" s="21">
        <v>50000</v>
      </c>
      <c r="K12" s="21">
        <v>50000</v>
      </c>
      <c r="L12" s="14" t="s">
        <v>45</v>
      </c>
      <c r="M12" s="14" t="s">
        <v>1580</v>
      </c>
      <c r="N12" s="81" t="s">
        <v>1646</v>
      </c>
    </row>
    <row r="13" s="1" customFormat="1" ht="40" customHeight="1" spans="1:14">
      <c r="A13" s="14" t="s">
        <v>305</v>
      </c>
      <c r="B13" s="14">
        <v>12</v>
      </c>
      <c r="C13" s="14" t="str">
        <f>_xlfn.DISPIMG("ID_76C7B55021AF42D1BA111CC35C0756B9",1)</f>
        <v>=DISPIMG("ID_76C7B55021AF42D1BA111CC35C0756B9",1)</v>
      </c>
      <c r="D13" s="14" t="s">
        <v>267</v>
      </c>
      <c r="E13" s="14">
        <v>2826374726</v>
      </c>
      <c r="F13" s="14" t="s">
        <v>339</v>
      </c>
      <c r="G13" s="80">
        <v>339611</v>
      </c>
      <c r="H13" s="17" t="s">
        <v>40</v>
      </c>
      <c r="I13" s="21">
        <v>20000</v>
      </c>
      <c r="J13" s="21">
        <v>50000</v>
      </c>
      <c r="K13" s="21">
        <v>98000</v>
      </c>
      <c r="L13" s="14" t="s">
        <v>45</v>
      </c>
      <c r="M13" s="14" t="s">
        <v>1580</v>
      </c>
      <c r="N13" s="81" t="s">
        <v>1647</v>
      </c>
    </row>
    <row r="14" s="1" customFormat="1" ht="40" customHeight="1" spans="1:14">
      <c r="A14" s="14" t="s">
        <v>305</v>
      </c>
      <c r="B14" s="14">
        <v>13</v>
      </c>
      <c r="C14" s="14" t="str">
        <f>_xlfn.DISPIMG("ID_6F063E78CAA44C75BAB4ABB2103D579B",1)</f>
        <v>=DISPIMG("ID_6F063E78CAA44C75BAB4ABB2103D579B",1)</v>
      </c>
      <c r="D14" s="14" t="s">
        <v>278</v>
      </c>
      <c r="E14" s="14">
        <v>2374561522</v>
      </c>
      <c r="F14" s="14" t="s">
        <v>305</v>
      </c>
      <c r="G14" s="80">
        <v>913305</v>
      </c>
      <c r="H14" s="17">
        <v>656</v>
      </c>
      <c r="I14" s="21" t="s">
        <v>40</v>
      </c>
      <c r="J14" s="21" t="s">
        <v>1648</v>
      </c>
      <c r="K14" s="21">
        <v>128000</v>
      </c>
      <c r="L14" s="14" t="s">
        <v>45</v>
      </c>
      <c r="M14" s="14" t="s">
        <v>1580</v>
      </c>
      <c r="N14" s="81" t="s">
        <v>1649</v>
      </c>
    </row>
    <row r="15" s="1" customFormat="1" ht="40" customHeight="1" spans="1:14">
      <c r="A15" s="14" t="s">
        <v>447</v>
      </c>
      <c r="B15" s="14">
        <v>14</v>
      </c>
      <c r="C15" s="14" t="str">
        <f>_xlfn.DISPIMG("ID_1FBA0DA8850F45B18BD38BE9C61D257B",1)</f>
        <v>=DISPIMG("ID_1FBA0DA8850F45B18BD38BE9C61D257B",1)</v>
      </c>
      <c r="D15" s="14" t="s">
        <v>1650</v>
      </c>
      <c r="E15" s="14">
        <v>121170885</v>
      </c>
      <c r="F15" s="14" t="s">
        <v>490</v>
      </c>
      <c r="G15" s="80">
        <v>268552</v>
      </c>
      <c r="H15" s="17" t="s">
        <v>40</v>
      </c>
      <c r="I15" s="21">
        <v>1500</v>
      </c>
      <c r="J15" s="21">
        <v>1800</v>
      </c>
      <c r="K15" s="21">
        <v>2000</v>
      </c>
      <c r="L15" s="14" t="s">
        <v>45</v>
      </c>
      <c r="M15" s="14" t="s">
        <v>1580</v>
      </c>
      <c r="N15" s="81" t="s">
        <v>1651</v>
      </c>
    </row>
    <row r="16" s="1" customFormat="1" ht="40" customHeight="1" spans="1:14">
      <c r="A16" s="14" t="s">
        <v>1652</v>
      </c>
      <c r="B16" s="14">
        <v>15</v>
      </c>
      <c r="C16" s="14" t="str">
        <f>_xlfn.DISPIMG("ID_FF56D58A0B064C748DEF09A2D4A64B27",1)</f>
        <v>=DISPIMG("ID_FF56D58A0B064C748DEF09A2D4A64B27",1)</v>
      </c>
      <c r="D16" s="14" t="s">
        <v>864</v>
      </c>
      <c r="E16" s="14">
        <v>1123957160</v>
      </c>
      <c r="F16" s="14" t="s">
        <v>867</v>
      </c>
      <c r="G16" s="80">
        <v>500293</v>
      </c>
      <c r="H16" s="17" t="s">
        <v>40</v>
      </c>
      <c r="I16" s="21">
        <v>10000</v>
      </c>
      <c r="J16" s="21">
        <v>10000</v>
      </c>
      <c r="K16" s="21">
        <v>13000</v>
      </c>
      <c r="L16" s="14" t="s">
        <v>45</v>
      </c>
      <c r="M16" s="14" t="s">
        <v>1580</v>
      </c>
      <c r="N16" s="81" t="s">
        <v>1653</v>
      </c>
    </row>
    <row r="17" s="1" customFormat="1" ht="40" customHeight="1" spans="1:14">
      <c r="A17" s="14" t="s">
        <v>643</v>
      </c>
      <c r="B17" s="14">
        <v>16</v>
      </c>
      <c r="C17" s="14" t="str">
        <f>_xlfn.DISPIMG("ID_1459E60758F34FD9B5251A2D0C815B01",1)</f>
        <v>=DISPIMG("ID_1459E60758F34FD9B5251A2D0C815B01",1)</v>
      </c>
      <c r="D17" s="14" t="s">
        <v>1470</v>
      </c>
      <c r="E17" s="14">
        <v>95338390</v>
      </c>
      <c r="F17" s="14" t="s">
        <v>1654</v>
      </c>
      <c r="G17" s="80">
        <v>13745508</v>
      </c>
      <c r="H17" s="17">
        <v>672</v>
      </c>
      <c r="I17" s="21">
        <v>80000</v>
      </c>
      <c r="J17" s="21">
        <v>108000</v>
      </c>
      <c r="K17" s="20" t="s">
        <v>1655</v>
      </c>
      <c r="L17" s="14" t="s">
        <v>45</v>
      </c>
      <c r="M17" s="14" t="s">
        <v>1580</v>
      </c>
      <c r="N17" s="81" t="s">
        <v>1656</v>
      </c>
    </row>
    <row r="18" s="1" customFormat="1" ht="40" customHeight="1" spans="1:14">
      <c r="A18" s="14" t="s">
        <v>643</v>
      </c>
      <c r="B18" s="14">
        <v>17</v>
      </c>
      <c r="C18" s="14" t="str">
        <f>_xlfn.DISPIMG("ID_20E53883F1124D6F8D6D09ABD2B68B86",1)</f>
        <v>=DISPIMG("ID_20E53883F1124D6F8D6D09ABD2B68B86",1)</v>
      </c>
      <c r="D18" s="14" t="s">
        <v>1541</v>
      </c>
      <c r="E18" s="14">
        <v>178752821</v>
      </c>
      <c r="F18" s="14" t="s">
        <v>1657</v>
      </c>
      <c r="G18" s="80">
        <v>1378030</v>
      </c>
      <c r="H18" s="17" t="s">
        <v>40</v>
      </c>
      <c r="I18" s="21">
        <v>28850</v>
      </c>
      <c r="J18" s="21">
        <v>28850</v>
      </c>
      <c r="K18" s="21">
        <v>30000</v>
      </c>
      <c r="L18" s="14" t="s">
        <v>45</v>
      </c>
      <c r="M18" s="14" t="s">
        <v>1580</v>
      </c>
      <c r="N18" s="81" t="s">
        <v>1658</v>
      </c>
    </row>
    <row r="19" s="1" customFormat="1" ht="40" customHeight="1" spans="1:14">
      <c r="A19" s="14" t="s">
        <v>643</v>
      </c>
      <c r="B19" s="14">
        <v>18</v>
      </c>
      <c r="C19" s="14" t="str">
        <f>_xlfn.DISPIMG("ID_663EA6CF7ADA4C04BFCE7AC30DCA86B5",1)</f>
        <v>=DISPIMG("ID_663EA6CF7ADA4C04BFCE7AC30DCA86B5",1)</v>
      </c>
      <c r="D19" s="14" t="s">
        <v>1443</v>
      </c>
      <c r="E19" s="14">
        <v>1999264444</v>
      </c>
      <c r="F19" s="14" t="s">
        <v>643</v>
      </c>
      <c r="G19" s="80">
        <v>677881</v>
      </c>
      <c r="H19" s="17">
        <v>93</v>
      </c>
      <c r="I19" s="21">
        <v>10000</v>
      </c>
      <c r="J19" s="21">
        <v>10000</v>
      </c>
      <c r="K19" s="21">
        <v>13000</v>
      </c>
      <c r="L19" s="14" t="s">
        <v>45</v>
      </c>
      <c r="M19" s="14" t="s">
        <v>1580</v>
      </c>
      <c r="N19" s="81" t="s">
        <v>1659</v>
      </c>
    </row>
    <row r="20" s="1" customFormat="1" ht="40" customHeight="1" spans="1:14">
      <c r="A20" s="14" t="s">
        <v>643</v>
      </c>
      <c r="B20" s="14">
        <v>19</v>
      </c>
      <c r="C20" s="14" t="str">
        <f>_xlfn.DISPIMG("ID_F258CD6BFCC5411D95997B2394662D36",1)</f>
        <v>=DISPIMG("ID_F258CD6BFCC5411D95997B2394662D36",1)</v>
      </c>
      <c r="D20" s="14" t="s">
        <v>640</v>
      </c>
      <c r="E20" s="14">
        <v>174655943</v>
      </c>
      <c r="F20" s="14" t="s">
        <v>643</v>
      </c>
      <c r="G20" s="80">
        <v>652600</v>
      </c>
      <c r="H20" s="17">
        <v>224</v>
      </c>
      <c r="I20" s="21">
        <v>4500</v>
      </c>
      <c r="J20" s="21">
        <v>4500</v>
      </c>
      <c r="K20" s="21">
        <v>6000</v>
      </c>
      <c r="L20" s="14" t="s">
        <v>45</v>
      </c>
      <c r="M20" s="14" t="s">
        <v>1580</v>
      </c>
      <c r="N20" s="81" t="s">
        <v>1660</v>
      </c>
    </row>
    <row r="21" s="1" customFormat="1" ht="40" customHeight="1" spans="1:14">
      <c r="A21" s="14" t="s">
        <v>643</v>
      </c>
      <c r="B21" s="14">
        <v>20</v>
      </c>
      <c r="C21" s="14" t="str">
        <f>_xlfn.DISPIMG("ID_11248BC070EE486982BB0B5EC2E9CB12",1)</f>
        <v>=DISPIMG("ID_11248BC070EE486982BB0B5EC2E9CB12",1)</v>
      </c>
      <c r="D21" s="14" t="s">
        <v>1355</v>
      </c>
      <c r="E21" s="14">
        <v>5787752</v>
      </c>
      <c r="F21" s="14" t="s">
        <v>643</v>
      </c>
      <c r="G21" s="80">
        <v>350838</v>
      </c>
      <c r="H21" s="17">
        <v>171</v>
      </c>
      <c r="I21" s="21">
        <v>10000</v>
      </c>
      <c r="J21" s="21">
        <v>12000</v>
      </c>
      <c r="K21" s="21">
        <v>15000</v>
      </c>
      <c r="L21" s="14" t="s">
        <v>45</v>
      </c>
      <c r="M21" s="14" t="s">
        <v>1580</v>
      </c>
      <c r="N21" s="81" t="s">
        <v>1661</v>
      </c>
    </row>
    <row r="22" s="1" customFormat="1" ht="40" customHeight="1" spans="1:14">
      <c r="A22" s="14" t="s">
        <v>926</v>
      </c>
      <c r="B22" s="14">
        <v>21</v>
      </c>
      <c r="C22" s="14" t="str">
        <f>_xlfn.DISPIMG("ID_2D4F19422DD94E92A557E4477C27D288",1)</f>
        <v>=DISPIMG("ID_2D4F19422DD94E92A557E4477C27D288",1)</v>
      </c>
      <c r="D22" s="14" t="s">
        <v>167</v>
      </c>
      <c r="E22" s="14">
        <v>1881524094</v>
      </c>
      <c r="F22" s="14" t="s">
        <v>170</v>
      </c>
      <c r="G22" s="80">
        <v>827902</v>
      </c>
      <c r="H22" s="17" t="s">
        <v>40</v>
      </c>
      <c r="I22" s="21">
        <v>30000</v>
      </c>
      <c r="J22" s="21">
        <v>30000</v>
      </c>
      <c r="K22" s="21">
        <v>30000</v>
      </c>
      <c r="L22" s="14" t="s">
        <v>45</v>
      </c>
      <c r="M22" s="14" t="s">
        <v>1580</v>
      </c>
      <c r="N22" s="81" t="s">
        <v>1662</v>
      </c>
    </row>
    <row r="23" s="1" customFormat="1" ht="40" customHeight="1" spans="1:14">
      <c r="A23" s="14" t="s">
        <v>926</v>
      </c>
      <c r="B23" s="14">
        <v>22</v>
      </c>
      <c r="C23" s="14" t="str">
        <f>_xlfn.DISPIMG("ID_3F1759559AB940A6A95E542A6EDD73B0",1)</f>
        <v>=DISPIMG("ID_3F1759559AB940A6A95E542A6EDD73B0",1)</v>
      </c>
      <c r="D23" s="14" t="s">
        <v>1663</v>
      </c>
      <c r="E23" s="14">
        <v>1461222504</v>
      </c>
      <c r="F23" s="14" t="s">
        <v>182</v>
      </c>
      <c r="G23" s="80">
        <v>635930</v>
      </c>
      <c r="H23" s="17">
        <v>613</v>
      </c>
      <c r="I23" s="21">
        <v>15000</v>
      </c>
      <c r="J23" s="21">
        <v>15000</v>
      </c>
      <c r="K23" s="21">
        <v>20000</v>
      </c>
      <c r="L23" s="14" t="s">
        <v>45</v>
      </c>
      <c r="M23" s="14" t="s">
        <v>1580</v>
      </c>
      <c r="N23" s="81" t="s">
        <v>1664</v>
      </c>
    </row>
    <row r="24" s="1" customFormat="1" ht="40" customHeight="1" spans="1:14">
      <c r="A24" s="14" t="s">
        <v>926</v>
      </c>
      <c r="B24" s="14">
        <v>23</v>
      </c>
      <c r="C24" s="14" t="str">
        <f>_xlfn.DISPIMG("ID_B29E0B8463234924BBB65C6C79031091",1)</f>
        <v>=DISPIMG("ID_B29E0B8463234924BBB65C6C79031091",1)</v>
      </c>
      <c r="D24" s="14" t="s">
        <v>1665</v>
      </c>
      <c r="E24" s="14">
        <v>514366458</v>
      </c>
      <c r="F24" s="14" t="s">
        <v>182</v>
      </c>
      <c r="G24" s="80">
        <v>631977</v>
      </c>
      <c r="H24" s="17" t="s">
        <v>40</v>
      </c>
      <c r="I24" s="21" t="s">
        <v>40</v>
      </c>
      <c r="J24" s="21">
        <v>6000</v>
      </c>
      <c r="K24" s="21" t="s">
        <v>40</v>
      </c>
      <c r="L24" s="14" t="s">
        <v>45</v>
      </c>
      <c r="M24" s="14" t="s">
        <v>1580</v>
      </c>
      <c r="N24" s="81" t="s">
        <v>1666</v>
      </c>
    </row>
    <row r="25" s="1" customFormat="1" ht="40" customHeight="1" spans="1:14">
      <c r="A25" s="14" t="s">
        <v>1667</v>
      </c>
      <c r="B25" s="14">
        <v>24</v>
      </c>
      <c r="C25" s="14" t="str">
        <f>_xlfn.DISPIMG("ID_A6F025CCCD2A49668E318B310BB2E213",1)</f>
        <v>=DISPIMG("ID_A6F025CCCD2A49668E318B310BB2E213",1)</v>
      </c>
      <c r="D25" s="14" t="s">
        <v>832</v>
      </c>
      <c r="E25" s="14">
        <v>657565965</v>
      </c>
      <c r="F25" s="14" t="s">
        <v>1668</v>
      </c>
      <c r="G25" s="80">
        <v>115034</v>
      </c>
      <c r="H25" s="17">
        <v>6</v>
      </c>
      <c r="I25" s="21">
        <v>18000</v>
      </c>
      <c r="J25" s="21">
        <v>24000</v>
      </c>
      <c r="K25" s="21">
        <v>30000</v>
      </c>
      <c r="L25" s="14" t="s">
        <v>135</v>
      </c>
      <c r="M25" s="14" t="s">
        <v>1580</v>
      </c>
      <c r="N25" s="81" t="s">
        <v>1669</v>
      </c>
    </row>
    <row r="26" s="1" customFormat="1" ht="40" customHeight="1" spans="1:14">
      <c r="A26" s="14" t="s">
        <v>1670</v>
      </c>
      <c r="B26" s="14">
        <v>25</v>
      </c>
      <c r="C26" s="14" t="str">
        <f>_xlfn.DISPIMG("ID_160376FC8C8D4E8BA2F154BAA03B7139",1)</f>
        <v>=DISPIMG("ID_160376FC8C8D4E8BA2F154BAA03B7139",1)</v>
      </c>
      <c r="D26" s="14" t="s">
        <v>1671</v>
      </c>
      <c r="E26" s="14">
        <v>1971657741</v>
      </c>
      <c r="F26" s="14" t="s">
        <v>589</v>
      </c>
      <c r="G26" s="80">
        <v>206475</v>
      </c>
      <c r="H26" s="17">
        <v>100</v>
      </c>
      <c r="I26" s="21" t="s">
        <v>40</v>
      </c>
      <c r="J26" s="21">
        <v>6000</v>
      </c>
      <c r="K26" s="21">
        <v>12000</v>
      </c>
      <c r="L26" s="14" t="s">
        <v>585</v>
      </c>
      <c r="M26" s="14" t="s">
        <v>1580</v>
      </c>
      <c r="N26" s="81" t="s">
        <v>1672</v>
      </c>
    </row>
    <row r="27" s="1" customFormat="1" ht="40" customHeight="1" spans="1:14">
      <c r="A27" s="14" t="s">
        <v>1673</v>
      </c>
      <c r="B27" s="14">
        <v>26</v>
      </c>
      <c r="C27" s="14" t="str">
        <f>_xlfn.DISPIMG("ID_F70DEC92B2DB48969925335DDA7128E1",1)</f>
        <v>=DISPIMG("ID_F70DEC92B2DB48969925335DDA7128E1",1)</v>
      </c>
      <c r="D27" s="14" t="s">
        <v>1674</v>
      </c>
      <c r="E27" s="14">
        <v>889526361</v>
      </c>
      <c r="F27" s="14" t="s">
        <v>1675</v>
      </c>
      <c r="G27" s="80">
        <v>2043414</v>
      </c>
      <c r="H27" s="17" t="s">
        <v>40</v>
      </c>
      <c r="I27" s="21">
        <v>25000</v>
      </c>
      <c r="J27" s="21">
        <v>25000</v>
      </c>
      <c r="K27" s="21">
        <v>98000</v>
      </c>
      <c r="L27" s="14" t="s">
        <v>135</v>
      </c>
      <c r="M27" s="14" t="s">
        <v>1580</v>
      </c>
      <c r="N27" s="81" t="s">
        <v>1676</v>
      </c>
    </row>
    <row r="28" s="1" customFormat="1" ht="40" customHeight="1" spans="1:14">
      <c r="A28" s="14" t="s">
        <v>1610</v>
      </c>
      <c r="B28" s="14">
        <v>27</v>
      </c>
      <c r="C28" s="14" t="str">
        <f>_xlfn.DISPIMG("ID_BF520B8C00DB4018AAF498954CEEB6E7",1)</f>
        <v>=DISPIMG("ID_BF520B8C00DB4018AAF498954CEEB6E7",1)</v>
      </c>
      <c r="D28" s="14" t="s">
        <v>1677</v>
      </c>
      <c r="E28" s="14">
        <v>535240710</v>
      </c>
      <c r="F28" s="14" t="s">
        <v>802</v>
      </c>
      <c r="G28" s="80">
        <v>487009</v>
      </c>
      <c r="H28" s="17">
        <v>842</v>
      </c>
      <c r="I28" s="21">
        <v>20000</v>
      </c>
      <c r="J28" s="21">
        <v>25000</v>
      </c>
      <c r="K28" s="21">
        <v>29900</v>
      </c>
      <c r="L28" s="14" t="s">
        <v>45</v>
      </c>
      <c r="M28" s="14" t="s">
        <v>1580</v>
      </c>
      <c r="N28" s="81" t="s">
        <v>1678</v>
      </c>
    </row>
    <row r="29" s="1" customFormat="1" ht="40" customHeight="1" spans="1:14">
      <c r="A29" s="28" t="s">
        <v>1610</v>
      </c>
      <c r="B29" s="28">
        <v>28</v>
      </c>
      <c r="C29" s="28" t="str">
        <f>_xlfn.DISPIMG("ID_1E53894226F0447CA4D62FA5B8BA1118",1)</f>
        <v>=DISPIMG("ID_1E53894226F0447CA4D62FA5B8BA1118",1)</v>
      </c>
      <c r="D29" s="28" t="s">
        <v>809</v>
      </c>
      <c r="E29" s="28">
        <v>1901994949</v>
      </c>
      <c r="F29" s="28" t="s">
        <v>802</v>
      </c>
      <c r="G29" s="82">
        <v>57585</v>
      </c>
      <c r="H29" s="31" t="s">
        <v>40</v>
      </c>
      <c r="I29" s="83" t="s">
        <v>40</v>
      </c>
      <c r="J29" s="83">
        <v>8500</v>
      </c>
      <c r="K29" s="83">
        <v>8500</v>
      </c>
      <c r="L29" s="29" t="s">
        <v>1679</v>
      </c>
      <c r="M29" s="28" t="s">
        <v>1585</v>
      </c>
      <c r="N29" s="84" t="s">
        <v>1680</v>
      </c>
    </row>
  </sheetData>
  <autoFilter xmlns:etc="http://www.wps.cn/officeDocument/2017/etCustomData" ref="A2:N29" etc:filterBottomFollowUsedRange="0">
    <extLst/>
  </autoFilter>
  <mergeCells count="1">
    <mergeCell ref="A1:N1"/>
  </mergeCells>
  <hyperlinks>
    <hyperlink ref="N3" r:id="rId2" display="https://live.kuaishou.com/profile/3xi4apqvqnf7g7y" tooltip="https://live.kuaishou.com/profile/3xi4apqvqnf7g7y"/>
    <hyperlink ref="N6" r:id="rId3" display="https://live.kuaishou.com/profile/Roududu1998z" tooltip="https://live.kuaishou.com/profile/Roududu1998z"/>
    <hyperlink ref="N5" r:id="rId4" display="https://live.kuaishou.com/profile/yaner957"/>
    <hyperlink ref="N7" r:id="rId5" display="https://live.kuaishou.com/profile/Dahuangh"/>
    <hyperlink ref="N9" r:id="rId6" display="https://live.kuaishou.com/profile/3xbn4pn987uua5q"/>
    <hyperlink ref="N10" r:id="rId7" display="https://live.kuaishou.com/profile/Jinbo9805"/>
    <hyperlink ref="N11" r:id="rId8" display="https://live.kuaishou.com/profile/xiaodudu20181208"/>
    <hyperlink ref="N22" r:id="rId9" display="https://live.kuaishou.com/profile/xxy1129xy"/>
    <hyperlink ref="N13" r:id="rId10" display="https://live.kuaishou.com/profile/wutangnaicha23"/>
    <hyperlink ref="N14" r:id="rId11" display="https://live.kuaishou.com/profile/zhousanshi0818"/>
    <hyperlink ref="N16" r:id="rId12" display="https://live.kuaishou.com/profile/bigefeixi"/>
    <hyperlink ref="N18" r:id="rId13" display="https://live.kuaishou.com/profile/Xiaxia977"/>
    <hyperlink ref="N19" r:id="rId14" display="https://live.kuaishou.com/profile/yihang112244" tooltip="https://live.kuaishou.com/profile/yihang112244"/>
    <hyperlink ref="N20" r:id="rId15" display="https://live.kuaishou.com/profile/xrr888006"/>
    <hyperlink ref="N4" r:id="rId16" display="https://live.kuaishou.com/profile/3xqsxy7pk7b3rq9"/>
    <hyperlink ref="N23" r:id="rId17" display="https://live.kuaishou.com/profile/A77777774_"/>
    <hyperlink ref="N27" r:id="rId18" display="https://live.kuaishou.com/profile/KK13881688"/>
    <hyperlink ref="N15" r:id="rId19" display="https://live.kuaishou.com/profile/3xjjzysswd2hqqm"/>
    <hyperlink ref="N17" r:id="rId20" display="https://live.kuaishou.com/profile/ygxdwl666"/>
    <hyperlink ref="N26" r:id="rId21" display="https://live.kuaishou.com/profile/Thesmallyear"/>
    <hyperlink ref="N21" r:id="rId22" display="https://v.kuaishou.com/kpTXgm"/>
    <hyperlink ref="N24" r:id="rId23" display="https://v.kuaishou.com/iTF8WX"/>
    <hyperlink ref="N12" r:id="rId24" display="https://live.kuaishou.com/profile/3xt6e7ftwjievc4" tooltip="https://live.kuaishou.com/profile/3xt6e7ftwjievc4"/>
    <hyperlink ref="N28" r:id="rId25" display="https://v.kuaishou.com/KIJDmKoP"/>
    <hyperlink ref="N8" r:id="rId26" display="https://v.kuaishou.com/nuLqSDG3"/>
    <hyperlink ref="N29" r:id="rId27" display="https://v.kuaishou.com/JfESauIY"/>
    <hyperlink ref="N25" r:id="rId28" display="https://v.kuaishou.com/JH0izg3N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2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P3" sqref="P3"/>
    </sheetView>
  </sheetViews>
  <sheetFormatPr defaultColWidth="9.81666666666667" defaultRowHeight="14.25"/>
  <cols>
    <col min="1" max="2" width="9" style="33"/>
    <col min="3" max="3" width="19.4583333333333" style="33" customWidth="1"/>
    <col min="4" max="4" width="15.4416666666667" style="33" customWidth="1"/>
    <col min="5" max="6" width="11.9" style="33" customWidth="1"/>
    <col min="7" max="7" width="34.7583333333333" style="57" customWidth="1"/>
    <col min="8" max="9" width="8.625" style="33" customWidth="1"/>
    <col min="10" max="13" width="13.3583333333333" style="33" customWidth="1"/>
    <col min="14" max="16372" width="9" style="33"/>
    <col min="16373" max="16375" width="9.64166666666667" style="33"/>
    <col min="16376" max="16384" width="9.81666666666667" style="33"/>
  </cols>
  <sheetData>
    <row r="1" s="33" customFormat="1" ht="70" customHeight="1" spans="1:13">
      <c r="A1" s="58" t="s">
        <v>1681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="33" customFormat="1" ht="30" customHeight="1" spans="1:13">
      <c r="A2" s="59" t="s">
        <v>7</v>
      </c>
      <c r="B2" s="59" t="s">
        <v>9</v>
      </c>
      <c r="C2" s="59" t="s">
        <v>1682</v>
      </c>
      <c r="D2" s="59" t="s">
        <v>1683</v>
      </c>
      <c r="E2" s="59" t="s">
        <v>1325</v>
      </c>
      <c r="F2" s="59" t="s">
        <v>1684</v>
      </c>
      <c r="G2" s="59" t="s">
        <v>1628</v>
      </c>
      <c r="H2" s="59" t="s">
        <v>1327</v>
      </c>
      <c r="I2" s="59" t="s">
        <v>1150</v>
      </c>
      <c r="J2" s="59" t="s">
        <v>1685</v>
      </c>
      <c r="K2" s="59" t="s">
        <v>1686</v>
      </c>
      <c r="L2" s="59" t="s">
        <v>1687</v>
      </c>
      <c r="M2" s="59" t="s">
        <v>1688</v>
      </c>
    </row>
    <row r="3" s="33" customFormat="1" ht="40" customHeight="1" spans="1:13">
      <c r="A3" s="37">
        <v>1</v>
      </c>
      <c r="B3" s="60" t="str">
        <f>_xlfn.DISPIMG("ID_5BA8960DA9DB42B0B6587B58B3D08D39",1)</f>
        <v>=DISPIMG("ID_5BA8960DA9DB42B0B6587B58B3D08D39",1)</v>
      </c>
      <c r="C3" s="61" t="s">
        <v>32</v>
      </c>
      <c r="D3" s="62">
        <v>30139938</v>
      </c>
      <c r="E3" s="63">
        <v>1847771</v>
      </c>
      <c r="F3" s="63">
        <v>15127930</v>
      </c>
      <c r="G3" s="61" t="s">
        <v>1689</v>
      </c>
      <c r="H3" s="37" t="s">
        <v>45</v>
      </c>
      <c r="I3" s="64" t="s">
        <v>1690</v>
      </c>
      <c r="J3" s="37">
        <v>1800000</v>
      </c>
      <c r="K3" s="37" t="s">
        <v>1691</v>
      </c>
      <c r="L3" s="37" t="s">
        <v>40</v>
      </c>
      <c r="M3" s="37" t="s">
        <v>40</v>
      </c>
    </row>
    <row r="4" s="33" customFormat="1" ht="40" customHeight="1" spans="1:13">
      <c r="A4" s="43">
        <v>2</v>
      </c>
      <c r="B4" s="65" t="str">
        <f>_xlfn.DISPIMG("ID_F79D9C42E0B9416AB978B02977D16978",1)</f>
        <v>=DISPIMG("ID_F79D9C42E0B9416AB978B02977D16978",1)</v>
      </c>
      <c r="C4" s="66" t="s">
        <v>1692</v>
      </c>
      <c r="D4" s="67">
        <v>686354330</v>
      </c>
      <c r="E4" s="68">
        <v>920868</v>
      </c>
      <c r="F4" s="68">
        <v>5646835</v>
      </c>
      <c r="G4" s="66" t="s">
        <v>1693</v>
      </c>
      <c r="H4" s="43" t="s">
        <v>45</v>
      </c>
      <c r="I4" s="43" t="s">
        <v>117</v>
      </c>
      <c r="J4" s="43">
        <v>25000</v>
      </c>
      <c r="K4" s="43" t="s">
        <v>40</v>
      </c>
      <c r="L4" s="43" t="s">
        <v>40</v>
      </c>
      <c r="M4" s="43" t="s">
        <v>40</v>
      </c>
    </row>
    <row r="5" s="33" customFormat="1" ht="40" customHeight="1" spans="1:13">
      <c r="A5" s="37">
        <v>3</v>
      </c>
      <c r="B5" s="60" t="str">
        <f>_xlfn.DISPIMG("ID_17F8DAE0FB3944338FDD5DD9E57873C1",1)</f>
        <v>=DISPIMG("ID_17F8DAE0FB3944338FDD5DD9E57873C1",1)</v>
      </c>
      <c r="C5" s="61" t="s">
        <v>1694</v>
      </c>
      <c r="D5" s="62">
        <v>1752056466</v>
      </c>
      <c r="E5" s="63">
        <v>535573</v>
      </c>
      <c r="F5" s="63">
        <v>8930993</v>
      </c>
      <c r="G5" s="61" t="s">
        <v>1695</v>
      </c>
      <c r="H5" s="37" t="s">
        <v>45</v>
      </c>
      <c r="I5" s="64" t="s">
        <v>1690</v>
      </c>
      <c r="J5" s="37">
        <v>200000</v>
      </c>
      <c r="K5" s="37">
        <v>40000</v>
      </c>
      <c r="L5" s="37">
        <v>60000</v>
      </c>
      <c r="M5" s="37">
        <v>30000</v>
      </c>
    </row>
    <row r="6" s="33" customFormat="1" ht="40" customHeight="1" spans="1:13">
      <c r="A6" s="43">
        <v>4</v>
      </c>
      <c r="B6" s="65" t="str">
        <f>_xlfn.DISPIMG("ID_F0EE0381F5B1436DAEEE251ADF939B0E",1)</f>
        <v>=DISPIMG("ID_F0EE0381F5B1436DAEEE251ADF939B0E",1)</v>
      </c>
      <c r="C6" s="66" t="s">
        <v>1434</v>
      </c>
      <c r="D6" s="295" t="s">
        <v>1696</v>
      </c>
      <c r="E6" s="68">
        <v>88033</v>
      </c>
      <c r="F6" s="68">
        <v>666174</v>
      </c>
      <c r="G6" s="66" t="s">
        <v>1697</v>
      </c>
      <c r="H6" s="43" t="s">
        <v>45</v>
      </c>
      <c r="I6" s="43" t="s">
        <v>1093</v>
      </c>
      <c r="J6" s="43" t="s">
        <v>40</v>
      </c>
      <c r="K6" s="43" t="s">
        <v>1698</v>
      </c>
      <c r="L6" s="43" t="s">
        <v>40</v>
      </c>
      <c r="M6" s="43" t="s">
        <v>40</v>
      </c>
    </row>
    <row r="7" s="33" customFormat="1" ht="40" customHeight="1" spans="1:13">
      <c r="A7" s="37">
        <v>5</v>
      </c>
      <c r="B7" s="60" t="str">
        <f>_xlfn.DISPIMG("ID_CB3295A1027744EC857B486DC6893A52",1)</f>
        <v>=DISPIMG("ID_CB3295A1027744EC857B486DC6893A52",1)</v>
      </c>
      <c r="C7" s="61" t="s">
        <v>257</v>
      </c>
      <c r="D7" s="62">
        <v>2069267165</v>
      </c>
      <c r="E7" s="63">
        <v>94546</v>
      </c>
      <c r="F7" s="63">
        <v>1061516</v>
      </c>
      <c r="G7" s="61" t="s">
        <v>1699</v>
      </c>
      <c r="H7" s="37" t="s">
        <v>45</v>
      </c>
      <c r="I7" s="64" t="s">
        <v>1690</v>
      </c>
      <c r="J7" s="37" t="s">
        <v>40</v>
      </c>
      <c r="K7" s="37" t="s">
        <v>1700</v>
      </c>
      <c r="L7" s="37">
        <v>10000</v>
      </c>
      <c r="M7" s="37">
        <v>6000</v>
      </c>
    </row>
    <row r="8" s="33" customFormat="1" ht="40" customHeight="1" spans="1:13">
      <c r="A8" s="43">
        <v>6</v>
      </c>
      <c r="B8" s="65" t="str">
        <f>_xlfn.DISPIMG("ID_EBCA562BE6304D399B78784BF72C7A46",1)</f>
        <v>=DISPIMG("ID_EBCA562BE6304D399B78784BF72C7A46",1)</v>
      </c>
      <c r="C8" s="66" t="s">
        <v>278</v>
      </c>
      <c r="D8" s="67">
        <v>1171192768</v>
      </c>
      <c r="E8" s="68">
        <v>401431</v>
      </c>
      <c r="F8" s="68">
        <v>7243386</v>
      </c>
      <c r="G8" s="66" t="s">
        <v>1701</v>
      </c>
      <c r="H8" s="43" t="s">
        <v>45</v>
      </c>
      <c r="I8" s="43" t="s">
        <v>1690</v>
      </c>
      <c r="J8" s="43" t="s">
        <v>1702</v>
      </c>
      <c r="K8" s="43" t="s">
        <v>1703</v>
      </c>
      <c r="L8" s="43">
        <v>10000</v>
      </c>
      <c r="M8" s="43">
        <v>6000</v>
      </c>
    </row>
    <row r="9" s="33" customFormat="1" ht="40" customHeight="1" spans="1:13">
      <c r="A9" s="37">
        <v>7</v>
      </c>
      <c r="B9" s="60" t="str">
        <f>_xlfn.DISPIMG("ID_71A68A67E6D94B428053E8A3DDFE409E",1)</f>
        <v>=DISPIMG("ID_71A68A67E6D94B428053E8A3DDFE409E",1)</v>
      </c>
      <c r="C9" s="61" t="s">
        <v>1704</v>
      </c>
      <c r="D9" s="62">
        <v>438538373</v>
      </c>
      <c r="E9" s="63">
        <v>379093</v>
      </c>
      <c r="F9" s="63">
        <v>5377235</v>
      </c>
      <c r="G9" s="61" t="s">
        <v>1705</v>
      </c>
      <c r="H9" s="37" t="s">
        <v>45</v>
      </c>
      <c r="I9" s="64" t="s">
        <v>1631</v>
      </c>
      <c r="J9" s="37">
        <v>40000</v>
      </c>
      <c r="K9" s="37">
        <v>25000</v>
      </c>
      <c r="L9" s="37">
        <v>10000</v>
      </c>
      <c r="M9" s="37" t="s">
        <v>40</v>
      </c>
    </row>
    <row r="10" s="33" customFormat="1" ht="40" customHeight="1" spans="1:13">
      <c r="A10" s="43">
        <v>8</v>
      </c>
      <c r="B10" s="65" t="str">
        <f>_xlfn.DISPIMG("ID_C84293C4FCB849FA9DC9DEC789150165",1)</f>
        <v>=DISPIMG("ID_C84293C4FCB849FA9DC9DEC789150165",1)</v>
      </c>
      <c r="C10" s="66" t="s">
        <v>1706</v>
      </c>
      <c r="D10" s="67">
        <v>1476802359</v>
      </c>
      <c r="E10" s="68">
        <v>18646</v>
      </c>
      <c r="F10" s="68">
        <v>225190</v>
      </c>
      <c r="G10" s="66" t="s">
        <v>1707</v>
      </c>
      <c r="H10" s="43" t="s">
        <v>45</v>
      </c>
      <c r="I10" s="43" t="s">
        <v>1690</v>
      </c>
      <c r="J10" s="43" t="s">
        <v>40</v>
      </c>
      <c r="K10" s="43" t="s">
        <v>1698</v>
      </c>
      <c r="L10" s="43">
        <v>5000</v>
      </c>
      <c r="M10" s="43">
        <v>3000</v>
      </c>
    </row>
    <row r="11" s="33" customFormat="1" ht="40" customHeight="1" spans="1:13">
      <c r="A11" s="37">
        <v>9</v>
      </c>
      <c r="B11" s="60" t="str">
        <f>_xlfn.DISPIMG("ID_372925DD8CB0467B92525FA61EF5FB7D",1)</f>
        <v>=DISPIMG("ID_372925DD8CB0467B92525FA61EF5FB7D",1)</v>
      </c>
      <c r="C11" s="61" t="s">
        <v>1708</v>
      </c>
      <c r="D11" s="62">
        <v>1972786116</v>
      </c>
      <c r="E11" s="63">
        <v>10494</v>
      </c>
      <c r="F11" s="63">
        <v>92053</v>
      </c>
      <c r="G11" s="61" t="s">
        <v>1709</v>
      </c>
      <c r="H11" s="37" t="s">
        <v>45</v>
      </c>
      <c r="I11" s="64" t="s">
        <v>1690</v>
      </c>
      <c r="J11" s="37" t="s">
        <v>40</v>
      </c>
      <c r="K11" s="37" t="s">
        <v>1710</v>
      </c>
      <c r="L11" s="37">
        <v>5000</v>
      </c>
      <c r="M11" s="37">
        <v>3000</v>
      </c>
    </row>
    <row r="12" s="33" customFormat="1" ht="40" customHeight="1" spans="1:13">
      <c r="A12" s="69">
        <v>10</v>
      </c>
      <c r="B12" s="70" t="str">
        <f>_xlfn.DISPIMG("ID_467966D24D254DAFB9025E4824C38221",1)</f>
        <v>=DISPIMG("ID_467966D24D254DAFB9025E4824C38221",1)</v>
      </c>
      <c r="C12" s="71" t="s">
        <v>1711</v>
      </c>
      <c r="D12" s="72">
        <v>1376579261</v>
      </c>
      <c r="E12" s="73">
        <v>42026</v>
      </c>
      <c r="F12" s="73">
        <v>274925</v>
      </c>
      <c r="G12" s="71" t="s">
        <v>1712</v>
      </c>
      <c r="H12" s="69" t="s">
        <v>45</v>
      </c>
      <c r="I12" s="69" t="s">
        <v>1690</v>
      </c>
      <c r="J12" s="69">
        <v>10000</v>
      </c>
      <c r="K12" s="69" t="s">
        <v>1710</v>
      </c>
      <c r="L12" s="69">
        <v>5000</v>
      </c>
      <c r="M12" s="69">
        <v>3000</v>
      </c>
    </row>
  </sheetData>
  <autoFilter xmlns:etc="http://www.wps.cn/officeDocument/2017/etCustomData" ref="A2:M12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7" r:id="rId4" display="https://space.bilibili.com/2069267165?spm_id_from=333.337.0.0" tooltip="https://space.bilibili.com/2069267165?spm_id_from=333.337.0.0"/>
    <hyperlink ref="G8" r:id="rId5" display="https://space.bilibili.com/1171192768?spm_id_from=333.337.0.0" tooltip="https://space.bilibili.com/1171192768?spm_id_from=333.337.0.0"/>
    <hyperlink ref="G10" r:id="rId6" display="https://space.bilibili.com/1476802359?spm_id_from=333.337.0.0" tooltip="https://space.bilibili.com/1476802359?spm_id_from=333.337.0.0"/>
    <hyperlink ref="G11" r:id="rId7" display="https://space.bilibili.com/1972786116?spm_id_from=333.337.0.0" tooltip="https://space.bilibili.com/1972786116?spm_id_from=333.337.0.0"/>
    <hyperlink ref="G4" r:id="rId8" display="https://space.bilibili.com/686354330?spm_id_from=333.337.0.0" tooltip="https://space.bilibili.com/686354330?spm_id_from=333.337.0.0"/>
    <hyperlink ref="G9" r:id="rId9" display="https://space.bilibili.com/438538373?spm_id_from=333.337.0.0"/>
    <hyperlink ref="G12" r:id="rId10" display="https://space.bilibili.com/1376579261?spm_id_from=333.337.0.0"/>
    <hyperlink ref="G6" r:id="rId11" display="https://space.bilibili.com/3494370374322460?spm_id_from=333.337.0.0"/>
  </hyperlinks>
  <pageMargins left="0.75" right="0.75" top="1" bottom="1" header="0.5" footer="0.5"/>
  <pageSetup paperSize="9" orientation="portrait"/>
  <headerFooter/>
  <ignoredErrors>
    <ignoredError sqref="D6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7"/>
  <sheetViews>
    <sheetView workbookViewId="0">
      <pane ySplit="2" topLeftCell="A3" activePane="bottomLeft" state="frozen"/>
      <selection/>
      <selection pane="bottomLeft" activeCell="D11" sqref="D11"/>
    </sheetView>
  </sheetViews>
  <sheetFormatPr defaultColWidth="9.81666666666667" defaultRowHeight="13.5" outlineLevelRow="6" outlineLevelCol="7"/>
  <cols>
    <col min="1" max="1" width="9" style="33"/>
    <col min="2" max="3" width="7.625" style="33" customWidth="1"/>
    <col min="4" max="4" width="33.2666666666667" style="33" customWidth="1"/>
    <col min="5" max="5" width="15.1416666666667" style="34" customWidth="1"/>
    <col min="6" max="6" width="15.1416666666667" style="33" customWidth="1"/>
    <col min="7" max="7" width="15.5" style="35" customWidth="1"/>
    <col min="8" max="8" width="29.875" style="33" customWidth="1"/>
    <col min="9" max="16377" width="9" style="33"/>
    <col min="16378" max="16383" width="9.64166666666667" style="33"/>
    <col min="16384" max="16384" width="9.81666666666667" style="33"/>
  </cols>
  <sheetData>
    <row r="1" s="33" customFormat="1" ht="70" customHeight="1" spans="1:8">
      <c r="A1" s="7" t="s">
        <v>1713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36" t="s">
        <v>1572</v>
      </c>
      <c r="B2" s="36" t="s">
        <v>7</v>
      </c>
      <c r="C2" s="36" t="s">
        <v>9</v>
      </c>
      <c r="D2" s="36" t="s">
        <v>1714</v>
      </c>
      <c r="E2" s="36" t="s">
        <v>1575</v>
      </c>
      <c r="F2" s="36" t="s">
        <v>1715</v>
      </c>
      <c r="G2" s="36" t="s">
        <v>1577</v>
      </c>
      <c r="H2" s="36" t="s">
        <v>1628</v>
      </c>
    </row>
    <row r="3" s="1" customFormat="1" ht="40" customHeight="1" spans="1:8">
      <c r="A3" s="37" t="s">
        <v>447</v>
      </c>
      <c r="B3" s="38">
        <v>1</v>
      </c>
      <c r="C3" s="39" t="str">
        <f>_xlfn.DISPIMG("ID_B80174DB818F42F89E0B16F62B09933C",1)</f>
        <v>=DISPIMG("ID_B80174DB818F42F89E0B16F62B09933C",1)</v>
      </c>
      <c r="D3" s="37" t="s">
        <v>1716</v>
      </c>
      <c r="E3" s="40">
        <v>1033</v>
      </c>
      <c r="F3" s="41">
        <v>80000</v>
      </c>
      <c r="G3" s="41">
        <v>8000</v>
      </c>
      <c r="H3" s="42" t="s">
        <v>1717</v>
      </c>
    </row>
    <row r="4" s="1" customFormat="1" ht="40" customHeight="1" spans="1:8">
      <c r="A4" s="43" t="s">
        <v>926</v>
      </c>
      <c r="B4" s="44">
        <v>2</v>
      </c>
      <c r="C4" s="45" t="str">
        <f>_xlfn.DISPIMG("ID_99668B7599544B11ACEEA3FF1EB72326",1)</f>
        <v>=DISPIMG("ID_99668B7599544B11ACEEA3FF1EB72326",1)</v>
      </c>
      <c r="D4" s="43" t="s">
        <v>946</v>
      </c>
      <c r="E4" s="46">
        <v>328</v>
      </c>
      <c r="F4" s="47">
        <v>50000</v>
      </c>
      <c r="G4" s="47">
        <v>5000</v>
      </c>
      <c r="H4" s="48" t="s">
        <v>1718</v>
      </c>
    </row>
    <row r="5" s="1" customFormat="1" ht="40" customHeight="1" spans="1:8">
      <c r="A5" s="37" t="s">
        <v>447</v>
      </c>
      <c r="B5" s="38">
        <v>3</v>
      </c>
      <c r="C5" s="39" t="str">
        <f>_xlfn.DISPIMG("ID_66734896A6CE47A2BD8361F520FC4D67",1)</f>
        <v>=DISPIMG("ID_66734896A6CE47A2BD8361F520FC4D67",1)</v>
      </c>
      <c r="D5" s="37" t="s">
        <v>398</v>
      </c>
      <c r="E5" s="40">
        <v>128</v>
      </c>
      <c r="F5" s="41">
        <v>50000</v>
      </c>
      <c r="G5" s="41">
        <v>8000</v>
      </c>
      <c r="H5" s="42" t="s">
        <v>1719</v>
      </c>
    </row>
    <row r="6" s="1" customFormat="1" ht="40" customHeight="1" spans="1:8">
      <c r="A6" s="43" t="s">
        <v>926</v>
      </c>
      <c r="B6" s="44">
        <v>4</v>
      </c>
      <c r="C6" s="45" t="str">
        <f>_xlfn.DISPIMG("ID_AAD39A6E8CE0488386F06F9435D649BA",1)</f>
        <v>=DISPIMG("ID_AAD39A6E8CE0488386F06F9435D649BA",1)</v>
      </c>
      <c r="D6" s="49" t="s">
        <v>1720</v>
      </c>
      <c r="E6" s="46">
        <v>422</v>
      </c>
      <c r="F6" s="47">
        <v>80000</v>
      </c>
      <c r="G6" s="47">
        <v>10000</v>
      </c>
      <c r="H6" s="48" t="s">
        <v>1721</v>
      </c>
    </row>
    <row r="7" s="1" customFormat="1" ht="40" customHeight="1" spans="1:8">
      <c r="A7" s="50" t="s">
        <v>447</v>
      </c>
      <c r="B7" s="51">
        <v>5</v>
      </c>
      <c r="C7" s="52" t="str">
        <f>_xlfn.DISPIMG("ID_FA9FF34377084D008B1E566C0AFB056C",1)</f>
        <v>=DISPIMG("ID_FA9FF34377084D008B1E566C0AFB056C",1)</v>
      </c>
      <c r="D7" s="53" t="s">
        <v>1722</v>
      </c>
      <c r="E7" s="54">
        <v>173</v>
      </c>
      <c r="F7" s="55">
        <v>15000</v>
      </c>
      <c r="G7" s="55">
        <v>1000</v>
      </c>
      <c r="H7" s="56" t="s">
        <v>1723</v>
      </c>
    </row>
  </sheetData>
  <autoFilter xmlns:etc="http://www.wps.cn/officeDocument/2017/etCustomData" ref="A2:H7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3" r:id="rId5" display="https://is.snssdk.com/motor/ugc/profile.html?link_source=share&amp;the_user_id=73208712518"/>
    <hyperlink ref="H7" r:id="rId6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31"/>
  <sheetViews>
    <sheetView workbookViewId="0">
      <pane xSplit="4" ySplit="2" topLeftCell="E28" activePane="bottomRight" state="frozen"/>
      <selection/>
      <selection pane="topRight"/>
      <selection pane="bottomLeft"/>
      <selection pane="bottomRight" activeCell="C2" sqref="C2:D31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25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3" width="9.64166666666667" style="1"/>
    <col min="16384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1152</v>
      </c>
      <c r="F2" s="9" t="s">
        <v>14</v>
      </c>
      <c r="G2" s="10" t="s">
        <v>1724</v>
      </c>
      <c r="H2" s="11" t="s">
        <v>1153</v>
      </c>
      <c r="I2" s="11" t="s">
        <v>18</v>
      </c>
      <c r="J2" s="12" t="s">
        <v>20</v>
      </c>
      <c r="K2" s="12" t="s">
        <v>21</v>
      </c>
      <c r="L2" s="12" t="s">
        <v>22</v>
      </c>
      <c r="M2" s="9" t="s">
        <v>1154</v>
      </c>
      <c r="N2" s="9" t="s">
        <v>30</v>
      </c>
    </row>
    <row r="3" customFormat="1" ht="35" customHeight="1" spans="1:14">
      <c r="A3" s="13">
        <v>1</v>
      </c>
      <c r="B3" t="str">
        <f>_xlfn.DISPIMG("ID_85C4102039844E04A2AC7A5F27147A90",1)</f>
        <v>=DISPIMG("ID_85C4102039844E04A2AC7A5F27147A90",1)</v>
      </c>
      <c r="C3" s="14" t="s">
        <v>1443</v>
      </c>
      <c r="D3" s="15" t="s">
        <v>1725</v>
      </c>
      <c r="E3" s="14" t="s">
        <v>643</v>
      </c>
      <c r="F3" s="14" t="s">
        <v>1726</v>
      </c>
      <c r="G3" s="13" t="s">
        <v>1727</v>
      </c>
      <c r="H3" s="16">
        <v>51.5</v>
      </c>
      <c r="I3" s="17">
        <v>483.3</v>
      </c>
      <c r="J3" s="18">
        <v>60000</v>
      </c>
      <c r="K3" s="18">
        <v>70000</v>
      </c>
      <c r="L3" s="18">
        <v>70000</v>
      </c>
      <c r="M3" s="13" t="s">
        <v>1728</v>
      </c>
      <c r="N3" s="14" t="s">
        <v>45</v>
      </c>
    </row>
    <row r="4" customFormat="1" ht="35" customHeight="1" spans="1:14">
      <c r="A4" s="14">
        <v>2</v>
      </c>
      <c r="B4" s="19" t="str">
        <f>_xlfn.DISPIMG("ID_8E572C28C332409CBC778FAC9CC485EE",1)</f>
        <v>=DISPIMG("ID_8E572C28C332409CBC778FAC9CC485EE",1)</v>
      </c>
      <c r="C4" s="14" t="s">
        <v>1729</v>
      </c>
      <c r="D4" s="15" t="s">
        <v>1730</v>
      </c>
      <c r="E4" s="14" t="s">
        <v>1731</v>
      </c>
      <c r="F4" s="14" t="s">
        <v>1732</v>
      </c>
      <c r="G4" s="13" t="s">
        <v>1733</v>
      </c>
      <c r="H4" s="16">
        <v>155.9</v>
      </c>
      <c r="I4" s="17">
        <v>368.9</v>
      </c>
      <c r="J4" s="20">
        <v>38000</v>
      </c>
      <c r="K4" s="20">
        <v>38000</v>
      </c>
      <c r="L4" s="20">
        <v>48000</v>
      </c>
      <c r="M4" s="13" t="s">
        <v>1734</v>
      </c>
      <c r="N4" s="14" t="s">
        <v>45</v>
      </c>
    </row>
    <row r="5" customFormat="1" ht="35" customHeight="1" spans="1:14">
      <c r="A5" s="14">
        <v>3</v>
      </c>
      <c r="B5" s="19" t="str">
        <f>_xlfn.DISPIMG("ID_0580F2861D774B8A81FE11D0A7A751A0",1)</f>
        <v>=DISPIMG("ID_0580F2861D774B8A81FE11D0A7A751A0",1)</v>
      </c>
      <c r="C5" s="14" t="s">
        <v>1735</v>
      </c>
      <c r="D5" s="15" t="s">
        <v>1736</v>
      </c>
      <c r="E5" s="14" t="s">
        <v>1737</v>
      </c>
      <c r="F5" s="14" t="s">
        <v>1738</v>
      </c>
      <c r="G5" s="13" t="s">
        <v>1739</v>
      </c>
      <c r="H5" s="16">
        <v>202.4</v>
      </c>
      <c r="I5" s="17">
        <v>36.6</v>
      </c>
      <c r="J5" s="20">
        <v>75000</v>
      </c>
      <c r="K5" s="20">
        <v>150000</v>
      </c>
      <c r="L5" s="20">
        <v>200000</v>
      </c>
      <c r="M5" s="13" t="s">
        <v>1740</v>
      </c>
      <c r="N5" s="14" t="s">
        <v>574</v>
      </c>
    </row>
    <row r="6" customFormat="1" ht="35" customHeight="1" spans="1:14">
      <c r="A6" s="14">
        <v>4</v>
      </c>
      <c r="B6" s="19" t="str">
        <f>_xlfn.DISPIMG("ID_51CC1604D87B4A769D49B1E9D059D9BE",1)</f>
        <v>=DISPIMG("ID_51CC1604D87B4A769D49B1E9D059D9BE",1)</v>
      </c>
      <c r="C6" s="14" t="s">
        <v>1741</v>
      </c>
      <c r="D6" s="15" t="s">
        <v>1742</v>
      </c>
      <c r="E6" s="14" t="s">
        <v>1093</v>
      </c>
      <c r="F6" s="14" t="s">
        <v>1743</v>
      </c>
      <c r="G6" s="13" t="s">
        <v>1744</v>
      </c>
      <c r="H6" s="16">
        <v>1109.8</v>
      </c>
      <c r="I6" s="17" t="s">
        <v>40</v>
      </c>
      <c r="J6" s="21">
        <v>105000</v>
      </c>
      <c r="K6" s="21">
        <v>120000</v>
      </c>
      <c r="L6" s="21">
        <v>150000</v>
      </c>
      <c r="M6" s="13" t="s">
        <v>1745</v>
      </c>
      <c r="N6" s="14" t="s">
        <v>314</v>
      </c>
    </row>
    <row r="7" customFormat="1" ht="35" customHeight="1" spans="1:14">
      <c r="A7" s="13">
        <v>5</v>
      </c>
      <c r="B7" s="22" t="str">
        <f>_xlfn.DISPIMG("ID_EFDCC538D76946D78B7EB98783933944",1)</f>
        <v>=DISPIMG("ID_EFDCC538D76946D78B7EB98783933944",1)</v>
      </c>
      <c r="C7" s="14" t="s">
        <v>1746</v>
      </c>
      <c r="D7" s="15" t="s">
        <v>1747</v>
      </c>
      <c r="E7" s="14" t="s">
        <v>1093</v>
      </c>
      <c r="F7" s="14" t="s">
        <v>1748</v>
      </c>
      <c r="G7" s="13" t="s">
        <v>1749</v>
      </c>
      <c r="H7" s="16">
        <v>165.3</v>
      </c>
      <c r="I7" s="17">
        <v>235.8</v>
      </c>
      <c r="J7" s="18">
        <v>25000</v>
      </c>
      <c r="K7" s="18">
        <v>28000</v>
      </c>
      <c r="L7" s="18">
        <v>35000</v>
      </c>
      <c r="M7" s="13" t="s">
        <v>1750</v>
      </c>
      <c r="N7" s="14" t="s">
        <v>45</v>
      </c>
    </row>
    <row r="8" customFormat="1" ht="35" customHeight="1" spans="1:14">
      <c r="A8" s="14">
        <v>6</v>
      </c>
      <c r="B8" s="22" t="str">
        <f>_xlfn.DISPIMG("ID_C600F1E9B9CF4B69911956C74DD8409F",1)</f>
        <v>=DISPIMG("ID_C600F1E9B9CF4B69911956C74DD8409F",1)</v>
      </c>
      <c r="C8" s="14" t="s">
        <v>1751</v>
      </c>
      <c r="D8" s="23" t="s">
        <v>1752</v>
      </c>
      <c r="E8" s="14" t="s">
        <v>1093</v>
      </c>
      <c r="F8" s="14" t="s">
        <v>1753</v>
      </c>
      <c r="G8" s="13" t="s">
        <v>1754</v>
      </c>
      <c r="H8" s="16">
        <v>107.6</v>
      </c>
      <c r="I8" s="17">
        <v>6.8</v>
      </c>
      <c r="J8" s="20">
        <v>8000</v>
      </c>
      <c r="K8" s="20">
        <v>10000</v>
      </c>
      <c r="L8" s="20">
        <v>13000</v>
      </c>
      <c r="M8" s="13" t="s">
        <v>1755</v>
      </c>
      <c r="N8" s="14" t="s">
        <v>45</v>
      </c>
    </row>
    <row r="9" customFormat="1" ht="35" customHeight="1" spans="1:14">
      <c r="A9" s="13">
        <v>7</v>
      </c>
      <c r="B9" t="str">
        <f>_xlfn.DISPIMG("ID_1972622F78944F3B80240176D8C71F27",1)</f>
        <v>=DISPIMG("ID_1972622F78944F3B80240176D8C71F27",1)</v>
      </c>
      <c r="C9" s="14" t="s">
        <v>1606</v>
      </c>
      <c r="D9" s="15">
        <v>66548904980</v>
      </c>
      <c r="E9" s="14" t="s">
        <v>490</v>
      </c>
      <c r="F9" s="14" t="s">
        <v>1756</v>
      </c>
      <c r="G9" s="13" t="s">
        <v>1757</v>
      </c>
      <c r="H9" s="16">
        <v>33.3</v>
      </c>
      <c r="I9" s="17" t="s">
        <v>40</v>
      </c>
      <c r="J9" s="18">
        <v>13000</v>
      </c>
      <c r="K9" s="18">
        <v>17000</v>
      </c>
      <c r="L9" s="18">
        <v>22000</v>
      </c>
      <c r="M9" s="13" t="s">
        <v>40</v>
      </c>
      <c r="N9" s="14" t="s">
        <v>945</v>
      </c>
    </row>
    <row r="10" customFormat="1" ht="35" customHeight="1" spans="1:14">
      <c r="A10" s="13">
        <v>8</v>
      </c>
      <c r="B10" s="19" t="str">
        <f>_xlfn.DISPIMG("ID_239842D3F75A4FE68730B55C4EC3A2AF",1)</f>
        <v>=DISPIMG("ID_239842D3F75A4FE68730B55C4EC3A2AF",1)</v>
      </c>
      <c r="C10" s="14" t="s">
        <v>1758</v>
      </c>
      <c r="D10" s="15" t="s">
        <v>1759</v>
      </c>
      <c r="E10" s="16" t="s">
        <v>447</v>
      </c>
      <c r="F10" s="14" t="s">
        <v>1760</v>
      </c>
      <c r="G10" s="13" t="s">
        <v>1761</v>
      </c>
      <c r="H10" s="16">
        <v>34.6</v>
      </c>
      <c r="I10" s="17">
        <v>643.8</v>
      </c>
      <c r="J10" s="18">
        <v>15000</v>
      </c>
      <c r="K10" s="18">
        <v>15000</v>
      </c>
      <c r="L10" s="18">
        <v>32000</v>
      </c>
      <c r="M10" s="13" t="s">
        <v>1762</v>
      </c>
      <c r="N10" s="14" t="s">
        <v>45</v>
      </c>
    </row>
    <row r="11" customFormat="1" ht="35" customHeight="1" spans="1:14">
      <c r="A11" s="14">
        <v>9</v>
      </c>
      <c r="B11" s="19" t="str">
        <f>_xlfn.DISPIMG("ID_61797551686346DC9014A66E142A21ED",1)</f>
        <v>=DISPIMG("ID_61797551686346DC9014A66E142A21ED",1)</v>
      </c>
      <c r="C11" s="14" t="s">
        <v>1763</v>
      </c>
      <c r="D11" s="15">
        <v>24900362122</v>
      </c>
      <c r="E11" s="14" t="s">
        <v>1764</v>
      </c>
      <c r="F11" s="14" t="s">
        <v>1765</v>
      </c>
      <c r="G11" s="13" t="s">
        <v>1766</v>
      </c>
      <c r="H11" s="16">
        <v>58</v>
      </c>
      <c r="I11" s="17">
        <v>252</v>
      </c>
      <c r="J11" s="20">
        <v>8200</v>
      </c>
      <c r="K11" s="20">
        <v>11000</v>
      </c>
      <c r="L11" s="20">
        <v>15000</v>
      </c>
      <c r="M11" s="13" t="s">
        <v>1767</v>
      </c>
      <c r="N11" s="14" t="s">
        <v>691</v>
      </c>
    </row>
    <row r="12" customFormat="1" ht="35" customHeight="1" spans="1:14">
      <c r="A12" s="13">
        <v>10</v>
      </c>
      <c r="B12" s="19" t="str">
        <f>_xlfn.DISPIMG("ID_0F56D0A8EA4C4786AD6FCABB58AB23E6",1)</f>
        <v>=DISPIMG("ID_0F56D0A8EA4C4786AD6FCABB58AB23E6",1)</v>
      </c>
      <c r="C12" s="14" t="s">
        <v>1768</v>
      </c>
      <c r="D12" s="15" t="s">
        <v>1769</v>
      </c>
      <c r="E12" s="24" t="s">
        <v>824</v>
      </c>
      <c r="F12" s="14" t="s">
        <v>1770</v>
      </c>
      <c r="G12" s="13" t="s">
        <v>1771</v>
      </c>
      <c r="H12" s="16">
        <v>694.6</v>
      </c>
      <c r="I12" s="17">
        <v>50.5</v>
      </c>
      <c r="J12" s="25">
        <v>70000</v>
      </c>
      <c r="K12" s="25">
        <v>90000</v>
      </c>
      <c r="L12" s="25">
        <v>95000</v>
      </c>
      <c r="M12" s="13" t="s">
        <v>1772</v>
      </c>
      <c r="N12" s="14" t="s">
        <v>45</v>
      </c>
    </row>
    <row r="13" customFormat="1" ht="35" customHeight="1" spans="1:14">
      <c r="A13" s="13">
        <v>11</v>
      </c>
      <c r="B13" s="19" t="str">
        <f>_xlfn.DISPIMG("ID_2031D1DA6A704E79BB7A156D3A8FFDD8",1)</f>
        <v>=DISPIMG("ID_2031D1DA6A704E79BB7A156D3A8FFDD8",1)</v>
      </c>
      <c r="C13" s="14" t="s">
        <v>1502</v>
      </c>
      <c r="D13" s="15" t="s">
        <v>1773</v>
      </c>
      <c r="E13" s="24" t="s">
        <v>48</v>
      </c>
      <c r="F13" s="14" t="s">
        <v>1774</v>
      </c>
      <c r="G13" s="13" t="s">
        <v>1775</v>
      </c>
      <c r="H13" s="16">
        <v>379.8</v>
      </c>
      <c r="I13" s="17">
        <v>286.9</v>
      </c>
      <c r="J13" s="18">
        <v>48000</v>
      </c>
      <c r="K13" s="18">
        <v>48000</v>
      </c>
      <c r="L13" s="18">
        <v>68000</v>
      </c>
      <c r="M13" s="13" t="s">
        <v>1776</v>
      </c>
      <c r="N13" s="14" t="s">
        <v>45</v>
      </c>
    </row>
    <row r="14" customFormat="1" ht="35" customHeight="1" spans="1:14">
      <c r="A14" s="13">
        <v>12</v>
      </c>
      <c r="B14" s="19" t="str">
        <f>_xlfn.DISPIMG("ID_8F6E789AFED045BC8BD281E8D1E2E449",1)</f>
        <v>=DISPIMG("ID_8F6E789AFED045BC8BD281E8D1E2E449",1)</v>
      </c>
      <c r="C14" s="14" t="s">
        <v>1777</v>
      </c>
      <c r="D14" s="15" t="s">
        <v>1778</v>
      </c>
      <c r="E14" s="24" t="s">
        <v>117</v>
      </c>
      <c r="F14" s="14" t="s">
        <v>1779</v>
      </c>
      <c r="G14" s="13" t="s">
        <v>1780</v>
      </c>
      <c r="H14" s="16">
        <v>319.9</v>
      </c>
      <c r="I14" s="17">
        <v>51.1</v>
      </c>
      <c r="J14" s="18">
        <v>45000</v>
      </c>
      <c r="K14" s="18">
        <v>55000</v>
      </c>
      <c r="L14" s="18">
        <v>65000</v>
      </c>
      <c r="M14" s="13" t="s">
        <v>1781</v>
      </c>
      <c r="N14" s="14" t="s">
        <v>585</v>
      </c>
    </row>
    <row r="15" customFormat="1" ht="35" customHeight="1" spans="1:14">
      <c r="A15" s="13">
        <v>13</v>
      </c>
      <c r="B15" s="19" t="str">
        <f>_xlfn.DISPIMG("ID_5FDE35B0268C46BCB70D6DA4A875921A",1)</f>
        <v>=DISPIMG("ID_5FDE35B0268C46BCB70D6DA4A875921A",1)</v>
      </c>
      <c r="C15" s="14" t="s">
        <v>1782</v>
      </c>
      <c r="D15" s="15" t="s">
        <v>1783</v>
      </c>
      <c r="E15" s="14" t="s">
        <v>117</v>
      </c>
      <c r="F15" s="14" t="s">
        <v>1784</v>
      </c>
      <c r="G15" s="13" t="s">
        <v>1785</v>
      </c>
      <c r="H15" s="16">
        <v>130.9</v>
      </c>
      <c r="I15" s="17">
        <v>650.5</v>
      </c>
      <c r="J15" s="18">
        <v>20000</v>
      </c>
      <c r="K15" s="18">
        <v>30000</v>
      </c>
      <c r="L15" s="18">
        <v>30000</v>
      </c>
      <c r="M15" s="13" t="s">
        <v>40</v>
      </c>
      <c r="N15" s="14" t="s">
        <v>45</v>
      </c>
    </row>
    <row r="16" customFormat="1" ht="35" customHeight="1" spans="1:14">
      <c r="A16" s="13">
        <v>14</v>
      </c>
      <c r="B16" s="19" t="str">
        <f>_xlfn.DISPIMG("ID_67690179DE0B42EAAD4DB5DA4B5A0F4F",1)</f>
        <v>=DISPIMG("ID_67690179DE0B42EAAD4DB5DA4B5A0F4F",1)</v>
      </c>
      <c r="C16" s="14" t="s">
        <v>1786</v>
      </c>
      <c r="D16" s="23" t="s">
        <v>1787</v>
      </c>
      <c r="E16" s="14" t="s">
        <v>117</v>
      </c>
      <c r="F16" s="14" t="s">
        <v>1788</v>
      </c>
      <c r="G16" s="13" t="s">
        <v>1789</v>
      </c>
      <c r="H16" s="16">
        <v>89.8</v>
      </c>
      <c r="I16" s="17">
        <v>228</v>
      </c>
      <c r="J16" s="18">
        <v>25000</v>
      </c>
      <c r="K16" s="18">
        <v>35000</v>
      </c>
      <c r="L16" s="18">
        <v>45000</v>
      </c>
      <c r="M16" s="13" t="s">
        <v>1790</v>
      </c>
      <c r="N16" s="14" t="s">
        <v>45</v>
      </c>
    </row>
    <row r="17" s="1" customFormat="1" ht="35" customHeight="1" spans="1:14">
      <c r="A17" s="13">
        <v>15</v>
      </c>
      <c r="B17" s="19" t="str">
        <f>_xlfn.DISPIMG("ID_811F6202021D4B43A8DEB03B8172AF1D",1)</f>
        <v>=DISPIMG("ID_811F6202021D4B43A8DEB03B8172AF1D",1)</v>
      </c>
      <c r="C17" s="23" t="s">
        <v>1791</v>
      </c>
      <c r="D17" s="15" t="s">
        <v>1792</v>
      </c>
      <c r="E17" s="14" t="s">
        <v>1793</v>
      </c>
      <c r="F17" s="14" t="s">
        <v>1794</v>
      </c>
      <c r="G17" s="13" t="s">
        <v>1795</v>
      </c>
      <c r="H17" s="16">
        <v>18.3</v>
      </c>
      <c r="I17" s="17" t="s">
        <v>40</v>
      </c>
      <c r="J17" s="18">
        <v>5000</v>
      </c>
      <c r="K17" s="18">
        <v>5000</v>
      </c>
      <c r="L17" s="18">
        <v>5700</v>
      </c>
      <c r="M17" s="18" t="s">
        <v>40</v>
      </c>
      <c r="N17" s="14" t="s">
        <v>45</v>
      </c>
    </row>
    <row r="18" customFormat="1" ht="35" customHeight="1" spans="1:14">
      <c r="A18" s="13">
        <v>16</v>
      </c>
      <c r="B18" s="19" t="str">
        <f>_xlfn.DISPIMG("ID_996902304CC646A3B6EBBBFF8B73BD30",1)</f>
        <v>=DISPIMG("ID_996902304CC646A3B6EBBBFF8B73BD30",1)</v>
      </c>
      <c r="C18" s="14" t="s">
        <v>1796</v>
      </c>
      <c r="D18" s="15" t="s">
        <v>1797</v>
      </c>
      <c r="E18" s="14" t="s">
        <v>643</v>
      </c>
      <c r="F18" s="14" t="s">
        <v>1798</v>
      </c>
      <c r="G18" s="13" t="s">
        <v>1799</v>
      </c>
      <c r="H18" s="16">
        <v>726.5</v>
      </c>
      <c r="I18" s="17">
        <v>94.1</v>
      </c>
      <c r="J18" s="18">
        <v>78000</v>
      </c>
      <c r="K18" s="18">
        <v>105000</v>
      </c>
      <c r="L18" s="18">
        <v>110000</v>
      </c>
      <c r="M18" s="13" t="s">
        <v>1800</v>
      </c>
      <c r="N18" s="14" t="s">
        <v>45</v>
      </c>
    </row>
    <row r="19" customFormat="1" ht="35" customHeight="1" spans="1:14">
      <c r="A19" s="13">
        <v>17</v>
      </c>
      <c r="B19" s="19" t="str">
        <f>_xlfn.DISPIMG("ID_9C9A0000A3A344BA99368A2B3BC10434",1)</f>
        <v>=DISPIMG("ID_9C9A0000A3A344BA99368A2B3BC10434",1)</v>
      </c>
      <c r="C19" s="14" t="s">
        <v>1801</v>
      </c>
      <c r="D19" s="15" t="s">
        <v>1802</v>
      </c>
      <c r="E19" s="14" t="s">
        <v>643</v>
      </c>
      <c r="F19" s="14" t="s">
        <v>1803</v>
      </c>
      <c r="G19" s="13" t="s">
        <v>1804</v>
      </c>
      <c r="H19" s="16">
        <v>173.2</v>
      </c>
      <c r="I19" s="17">
        <v>78.7</v>
      </c>
      <c r="J19" s="18">
        <v>28000</v>
      </c>
      <c r="K19" s="18">
        <v>38000</v>
      </c>
      <c r="L19" s="18">
        <v>45000</v>
      </c>
      <c r="M19" s="13" t="s">
        <v>1805</v>
      </c>
      <c r="N19" s="14" t="s">
        <v>1806</v>
      </c>
    </row>
    <row r="20" s="1" customFormat="1" ht="35" customHeight="1" spans="1:14">
      <c r="A20" s="13">
        <v>18</v>
      </c>
      <c r="B20" s="26" t="str">
        <f>_xlfn.DISPIMG("ID_CD46B8401C7948BCBF2D9AF24FC3DD04",1)</f>
        <v>=DISPIMG("ID_CD46B8401C7948BCBF2D9AF24FC3DD04",1)</v>
      </c>
      <c r="C20" s="23" t="s">
        <v>1807</v>
      </c>
      <c r="D20" s="13" t="s">
        <v>1808</v>
      </c>
      <c r="E20" s="13" t="s">
        <v>1809</v>
      </c>
      <c r="F20" s="13" t="s">
        <v>1810</v>
      </c>
      <c r="G20" s="13" t="s">
        <v>1811</v>
      </c>
      <c r="H20" s="16">
        <v>342.5</v>
      </c>
      <c r="I20" s="27">
        <v>90.2</v>
      </c>
      <c r="J20" s="25">
        <v>40000</v>
      </c>
      <c r="K20" s="25">
        <v>40000</v>
      </c>
      <c r="L20" s="25">
        <v>50000</v>
      </c>
      <c r="M20" s="13" t="s">
        <v>1812</v>
      </c>
      <c r="N20" s="13" t="s">
        <v>45</v>
      </c>
    </row>
    <row r="21" s="3" customFormat="1" ht="35" customHeight="1" spans="1:14">
      <c r="A21" s="13">
        <v>19</v>
      </c>
      <c r="B21" t="str">
        <f>_xlfn.DISPIMG("ID_31EE830DB95240B9A6FA569061AA5D02",1)</f>
        <v>=DISPIMG("ID_31EE830DB95240B9A6FA569061AA5D02",1)</v>
      </c>
      <c r="C21" s="23" t="s">
        <v>1813</v>
      </c>
      <c r="D21" s="13" t="s">
        <v>1814</v>
      </c>
      <c r="E21" s="13" t="s">
        <v>1815</v>
      </c>
      <c r="F21" s="13" t="s">
        <v>1816</v>
      </c>
      <c r="G21" s="13" t="s">
        <v>1817</v>
      </c>
      <c r="H21" s="16">
        <v>52</v>
      </c>
      <c r="I21" s="27">
        <v>256</v>
      </c>
      <c r="J21" s="20">
        <v>8000</v>
      </c>
      <c r="K21" s="20">
        <v>10000</v>
      </c>
      <c r="L21" s="20">
        <v>13000</v>
      </c>
      <c r="M21" s="13" t="s">
        <v>1818</v>
      </c>
      <c r="N21" s="13" t="s">
        <v>45</v>
      </c>
    </row>
    <row r="22" customFormat="1" ht="35" customHeight="1" spans="1:14">
      <c r="A22" s="13">
        <v>20</v>
      </c>
      <c r="B22" s="19" t="str">
        <f>_xlfn.DISPIMG("ID_A3F44AC569AB446BA8AB93D7247E5A6B",1)</f>
        <v>=DISPIMG("ID_A3F44AC569AB446BA8AB93D7247E5A6B",1)</v>
      </c>
      <c r="C22" s="14" t="s">
        <v>1819</v>
      </c>
      <c r="D22" s="15">
        <v>8372328</v>
      </c>
      <c r="E22" s="14" t="s">
        <v>643</v>
      </c>
      <c r="F22" s="14" t="s">
        <v>1820</v>
      </c>
      <c r="G22" s="13" t="s">
        <v>1821</v>
      </c>
      <c r="H22" s="16">
        <v>192.5</v>
      </c>
      <c r="I22" s="17" t="s">
        <v>40</v>
      </c>
      <c r="J22" s="18">
        <v>15000</v>
      </c>
      <c r="K22" s="18">
        <v>20000</v>
      </c>
      <c r="L22" s="18">
        <v>28000</v>
      </c>
      <c r="M22" s="13" t="s">
        <v>1822</v>
      </c>
      <c r="N22" s="14" t="s">
        <v>45</v>
      </c>
    </row>
    <row r="23" customFormat="1" ht="35" customHeight="1" spans="1:14">
      <c r="A23" s="13">
        <v>21</v>
      </c>
      <c r="B23" s="19" t="str">
        <f>_xlfn.DISPIMG("ID_3BA253F562B54339B4A9619792A8864F",1)</f>
        <v>=DISPIMG("ID_3BA253F562B54339B4A9619792A8864F",1)</v>
      </c>
      <c r="C23" s="14" t="s">
        <v>1823</v>
      </c>
      <c r="D23" s="23">
        <v>6944639</v>
      </c>
      <c r="E23" s="14" t="s">
        <v>643</v>
      </c>
      <c r="F23" s="14" t="s">
        <v>1824</v>
      </c>
      <c r="G23" s="13" t="s">
        <v>1825</v>
      </c>
      <c r="H23" s="16">
        <v>64.7</v>
      </c>
      <c r="I23" s="17">
        <v>182.4</v>
      </c>
      <c r="J23" s="20">
        <v>13000</v>
      </c>
      <c r="K23" s="20">
        <v>17000</v>
      </c>
      <c r="L23" s="20">
        <v>30000</v>
      </c>
      <c r="M23" s="13" t="s">
        <v>1826</v>
      </c>
      <c r="N23" s="14" t="s">
        <v>585</v>
      </c>
    </row>
    <row r="24" customFormat="1" ht="35" customHeight="1" spans="1:14">
      <c r="A24" s="13">
        <v>22</v>
      </c>
      <c r="B24" s="19" t="str">
        <f>_xlfn.DISPIMG("ID_944A52349608496F82FAF7AF11D27DA3",1)</f>
        <v>=DISPIMG("ID_944A52349608496F82FAF7AF11D27DA3",1)</v>
      </c>
      <c r="C24" s="14" t="s">
        <v>1827</v>
      </c>
      <c r="D24" s="15" t="s">
        <v>1828</v>
      </c>
      <c r="E24" s="14" t="s">
        <v>643</v>
      </c>
      <c r="F24" s="14" t="s">
        <v>1829</v>
      </c>
      <c r="G24" s="13" t="s">
        <v>1830</v>
      </c>
      <c r="H24" s="16">
        <v>269.7</v>
      </c>
      <c r="I24" s="17">
        <v>173.7</v>
      </c>
      <c r="J24" s="18">
        <v>25000</v>
      </c>
      <c r="K24" s="18">
        <v>30000</v>
      </c>
      <c r="L24" s="18">
        <v>40000</v>
      </c>
      <c r="M24" s="13" t="s">
        <v>1831</v>
      </c>
      <c r="N24" s="14" t="s">
        <v>45</v>
      </c>
    </row>
    <row r="25" s="1" customFormat="1" ht="35" customHeight="1" spans="1:14">
      <c r="A25" s="13">
        <v>23</v>
      </c>
      <c r="B25" s="22" t="str">
        <f>_xlfn.DISPIMG("ID_9E1E2148C84A47D99C534F3F58224D8C",1)</f>
        <v>=DISPIMG("ID_9E1E2148C84A47D99C534F3F58224D8C",1)</v>
      </c>
      <c r="C25" s="23" t="s">
        <v>1832</v>
      </c>
      <c r="D25" s="13" t="s">
        <v>1833</v>
      </c>
      <c r="E25" s="13" t="s">
        <v>643</v>
      </c>
      <c r="F25" s="13" t="s">
        <v>1834</v>
      </c>
      <c r="G25" s="13" t="s">
        <v>1835</v>
      </c>
      <c r="H25" s="16">
        <v>18.6</v>
      </c>
      <c r="I25" s="27" t="s">
        <v>40</v>
      </c>
      <c r="J25" s="25">
        <v>25000</v>
      </c>
      <c r="K25" s="25">
        <v>35000</v>
      </c>
      <c r="L25" s="25">
        <v>50000</v>
      </c>
      <c r="M25" s="13" t="s">
        <v>40</v>
      </c>
      <c r="N25" s="13" t="s">
        <v>45</v>
      </c>
    </row>
    <row r="26" customFormat="1" ht="35" customHeight="1" spans="1:14">
      <c r="A26" s="13">
        <v>24</v>
      </c>
      <c r="B26" s="19" t="str">
        <f>_xlfn.DISPIMG("ID_D9FB7FDC3CA64F10A2691A5E85966BA3",1)</f>
        <v>=DISPIMG("ID_D9FB7FDC3CA64F10A2691A5E85966BA3",1)</v>
      </c>
      <c r="C26" s="14" t="s">
        <v>1836</v>
      </c>
      <c r="D26" s="15">
        <v>342906081</v>
      </c>
      <c r="E26" s="14" t="s">
        <v>643</v>
      </c>
      <c r="F26" s="14" t="s">
        <v>1837</v>
      </c>
      <c r="G26" s="13" t="s">
        <v>1838</v>
      </c>
      <c r="H26" s="16">
        <v>60.1</v>
      </c>
      <c r="I26" s="17" t="s">
        <v>40</v>
      </c>
      <c r="J26" s="18">
        <v>12000</v>
      </c>
      <c r="K26" s="18">
        <v>12000</v>
      </c>
      <c r="L26" s="18">
        <v>15600</v>
      </c>
      <c r="M26" s="13" t="s">
        <v>1839</v>
      </c>
      <c r="N26" s="14" t="s">
        <v>45</v>
      </c>
    </row>
    <row r="27" customFormat="1" ht="35" customHeight="1" spans="1:14">
      <c r="A27" s="14">
        <v>25</v>
      </c>
      <c r="B27" s="19" t="str">
        <f>_xlfn.DISPIMG("ID_AE0D326C3431465AB31A17963D0A4333",1)</f>
        <v>=DISPIMG("ID_AE0D326C3431465AB31A17963D0A4333",1)</v>
      </c>
      <c r="C27" s="13" t="s">
        <v>1840</v>
      </c>
      <c r="D27" s="15">
        <v>96201603048</v>
      </c>
      <c r="E27" s="14" t="s">
        <v>1841</v>
      </c>
      <c r="F27" s="14" t="s">
        <v>1842</v>
      </c>
      <c r="G27" s="13" t="s">
        <v>1843</v>
      </c>
      <c r="H27" s="13">
        <v>27.1</v>
      </c>
      <c r="I27" s="17" t="s">
        <v>40</v>
      </c>
      <c r="J27" s="20">
        <v>6500</v>
      </c>
      <c r="K27" s="20">
        <v>7500</v>
      </c>
      <c r="L27" s="20">
        <v>8000</v>
      </c>
      <c r="M27" s="13" t="s">
        <v>40</v>
      </c>
      <c r="N27" s="14" t="s">
        <v>45</v>
      </c>
    </row>
    <row r="28" customFormat="1" ht="35" customHeight="1" spans="1:14">
      <c r="A28" s="14">
        <v>26</v>
      </c>
      <c r="B28" t="str">
        <f>_xlfn.DISPIMG("ID_290551792D6B463EB97EC0537A2219FA",1)</f>
        <v>=DISPIMG("ID_290551792D6B463EB97EC0537A2219FA",1)</v>
      </c>
      <c r="C28" s="13" t="s">
        <v>1844</v>
      </c>
      <c r="D28" s="15">
        <v>29305625245</v>
      </c>
      <c r="E28" s="14" t="s">
        <v>1845</v>
      </c>
      <c r="F28" s="13" t="s">
        <v>1846</v>
      </c>
      <c r="G28" s="13" t="s">
        <v>40</v>
      </c>
      <c r="H28" s="13">
        <v>7.5</v>
      </c>
      <c r="I28" s="17" t="s">
        <v>40</v>
      </c>
      <c r="J28" s="20">
        <v>1000</v>
      </c>
      <c r="K28" s="20">
        <v>2000</v>
      </c>
      <c r="L28" s="20">
        <v>3000</v>
      </c>
      <c r="M28" s="13" t="s">
        <v>40</v>
      </c>
      <c r="N28" s="14" t="s">
        <v>45</v>
      </c>
    </row>
    <row r="29" customFormat="1" ht="35" customHeight="1" spans="1:14">
      <c r="A29" s="14">
        <v>27</v>
      </c>
      <c r="B29" s="19" t="str">
        <f>_xlfn.DISPIMG("ID_BC10D53D01AB439C8C91A8495437B0BD",1)</f>
        <v>=DISPIMG("ID_BC10D53D01AB439C8C91A8495437B0BD",1)</v>
      </c>
      <c r="C29" s="13" t="s">
        <v>1847</v>
      </c>
      <c r="D29" s="15" t="s">
        <v>1848</v>
      </c>
      <c r="E29" s="14" t="s">
        <v>1849</v>
      </c>
      <c r="F29" s="14" t="s">
        <v>1850</v>
      </c>
      <c r="G29" s="13" t="s">
        <v>1851</v>
      </c>
      <c r="H29" s="13">
        <v>26.9</v>
      </c>
      <c r="I29" s="17">
        <v>539.9</v>
      </c>
      <c r="J29" s="20">
        <v>12000</v>
      </c>
      <c r="K29" s="20">
        <v>12000</v>
      </c>
      <c r="L29" s="20">
        <v>15000</v>
      </c>
      <c r="M29" s="13" t="s">
        <v>40</v>
      </c>
      <c r="N29" s="14" t="s">
        <v>1852</v>
      </c>
    </row>
    <row r="30" customFormat="1" ht="35" customHeight="1" spans="1:14">
      <c r="A30" s="14">
        <v>28</v>
      </c>
      <c r="B30" s="26" t="str">
        <f>_xlfn.DISPIMG("ID_E3BD1E96CA0D4B378BED86B334AF6563",1)</f>
        <v>=DISPIMG("ID_E3BD1E96CA0D4B378BED86B334AF6563",1)</v>
      </c>
      <c r="C30" s="13" t="s">
        <v>1853</v>
      </c>
      <c r="D30" s="15" t="s">
        <v>1854</v>
      </c>
      <c r="E30" s="14" t="s">
        <v>1652</v>
      </c>
      <c r="F30" s="14" t="s">
        <v>1855</v>
      </c>
      <c r="G30" s="13" t="s">
        <v>1856</v>
      </c>
      <c r="H30" s="13">
        <v>11.2</v>
      </c>
      <c r="I30" s="17" t="s">
        <v>40</v>
      </c>
      <c r="J30" s="20">
        <v>2000</v>
      </c>
      <c r="K30" s="20">
        <v>3000</v>
      </c>
      <c r="L30" s="20">
        <v>5000</v>
      </c>
      <c r="M30" s="13" t="s">
        <v>40</v>
      </c>
      <c r="N30" s="14" t="s">
        <v>45</v>
      </c>
    </row>
    <row r="31" customFormat="1" ht="35" customHeight="1" spans="1:14">
      <c r="A31" s="28">
        <v>29</v>
      </c>
      <c r="B31" s="29" t="str">
        <f>_xlfn.DISPIMG("ID_5ABB8D3EA41A460A974A5D234EE2C2F8",1)</f>
        <v>=DISPIMG("ID_5ABB8D3EA41A460A974A5D234EE2C2F8",1)</v>
      </c>
      <c r="C31" s="29" t="s">
        <v>1857</v>
      </c>
      <c r="D31" s="30">
        <v>1537298468</v>
      </c>
      <c r="E31" s="28" t="s">
        <v>1858</v>
      </c>
      <c r="F31" s="28" t="s">
        <v>1859</v>
      </c>
      <c r="G31" s="29" t="s">
        <v>1860</v>
      </c>
      <c r="H31" s="29">
        <v>29.9</v>
      </c>
      <c r="I31" s="31" t="s">
        <v>40</v>
      </c>
      <c r="J31" s="32">
        <v>8000</v>
      </c>
      <c r="K31" s="32">
        <v>10000</v>
      </c>
      <c r="L31" s="32">
        <v>12000</v>
      </c>
      <c r="M31" s="29" t="s">
        <v>40</v>
      </c>
      <c r="N31" s="28" t="s">
        <v>45</v>
      </c>
    </row>
  </sheetData>
  <autoFilter xmlns:etc="http://www.wps.cn/officeDocument/2017/etCustomData" ref="A2:XEV31" etc:filterBottomFollowUsedRange="0">
    <extLst/>
  </autoFilter>
  <mergeCells count="1">
    <mergeCell ref="A1:N1"/>
  </mergeCells>
  <hyperlinks>
    <hyperlink ref="F12" r:id="rId2" display="https://v.douyin.com/88tpRCb/"/>
    <hyperlink ref="F18" r:id="rId3" display="https://v.douyin.com/eaRJPHe/"/>
    <hyperlink ref="F24" r:id="rId4" display="https://v.douyin.com/e18x2s1/"/>
    <hyperlink ref="F7" r:id="rId5" display="https://v.douyin.com/e1dopKv/"/>
    <hyperlink ref="F10" r:id="rId6" display="https://v.douyin.com/e1dnU3C/"/>
    <hyperlink ref="F8" r:id="rId7" display="https://v.douyin.com/2W7nbwM/"/>
    <hyperlink ref="F4" r:id="rId8" display="https://v.douyin.com/rfgepnY/"/>
    <hyperlink ref="F22" r:id="rId9" display="https://v.douyin.com/A4Wbyjf/"/>
    <hyperlink ref="F6" r:id="rId10" display="https://v.douyin.com/yNkevye/"/>
    <hyperlink ref="F11" r:id="rId11" display="https://v.douyin.com/yFCq9y3/"/>
    <hyperlink ref="F23" r:id="rId12" display="https://v.douyin.com/DDtQneX/"/>
    <hyperlink ref="F26" r:id="rId13" display="https://v.douyin.com/eNCkcEU/"/>
    <hyperlink ref="F16" r:id="rId14" display="https://v.douyin.com/i8aCMmDk/"/>
    <hyperlink ref="F13" r:id="rId15" display="https://v.douyin.com/nthyDT/"/>
    <hyperlink ref="F9" r:id="rId16" display="https://v.douyin.com/i2nY4afF/"/>
    <hyperlink ref="F29" r:id="rId17" display="https://v.douyin.com/FswYnjx/"/>
    <hyperlink ref="F31" r:id="rId18" display="https://v.douyin.com/iJW1TXLv/"/>
    <hyperlink ref="F30" r:id="rId19" display="https://v.douyin.com/idjuYaHy/"/>
    <hyperlink ref="F27" r:id="rId20" display="https://v.douyin.com/i8cKAwaa/ 8@0.com"/>
    <hyperlink ref="F17" r:id="rId21" display="https://v.douyin.com/vP3VmxRgiLI/"/>
    <hyperlink ref="F15" r:id="rId22" display="https://v.douyin.com/M3spsCWS4Tc/"/>
    <hyperlink ref="F21" r:id="rId23" display="https://v.douyin.com/iY85wBRt/"/>
    <hyperlink ref="F25" r:id="rId24" display="https://v.douyin.com/C2FPaiMOprM/" tooltip="https://v.douyin.com/C2FPaiMOprM/"/>
    <hyperlink ref="F20" r:id="rId25" display="https://v.douyin.com/JSacLxr/"/>
    <hyperlink ref="G4" r:id="rId26" display="https://www.xingtu.cn/ad/creator/author-homepage/douyin-video/7128380987993489438?market_track_id=3XWNK7LWA21OEENNFR80&amp;search_session_id=7550214870017998891&amp;possessStarId"/>
    <hyperlink ref="G6" r:id="rId27" display="https://www.xingtu.cn/ad/creator/author-homepage/douyin-video/6596679498022780936?market_track_id=OT328YAVVPOJZEPAV52J&amp;search_session_id=7550215036942712851&amp;possessStarId"/>
    <hyperlink ref="G7" r:id="rId28" display="https://www.xingtu.cn/ad/creator/author-homepage/douyin-video/6801043323701166093?market_track_id=WRWTEVNZUU1314FZAKXZ&amp;search_session_id=7550215047575666724&amp;possessStarId"/>
    <hyperlink ref="G8" r:id="rId29" display="https://www.xingtu.cn/ad/creator/author-homepage/douyin-video/7118636721230577700?market_track_id=3VV5ZBKXKBMKIPIX3IZH&amp;search_session_id=7550215159429333031&amp;possessStarId"/>
    <hyperlink ref="G9" r:id="rId30" display="https://www.xingtu.cn/ad/creator/author-homepage/douyin-video/7300476344071110693?market_track_id=715DEKOOY6EFZPKN3OS6&amp;search_session_id=7550216179446022183&amp;possessStarId"/>
    <hyperlink ref="G10" r:id="rId31" display="https://www.xingtu.cn/ad/creator/author-homepage/douyin-video/6810311904263667719?market_track_id=26ZQGJM6ARET41LHTQMT&amp;search_session_id=7550216389245009961&amp;possessStarId"/>
    <hyperlink ref="G11" r:id="rId32" display="https://www.xingtu.cn/ad/creator/author-homepage/douyin-video/7055186462358110239?market_track_id=0S6MHXHBLH5VC2WLNDJ2&amp;search_session_id=7550217075030540327&amp;possessStarId"/>
    <hyperlink ref="G12" r:id="rId33" display="https://www.xingtu.cn/ad/creator/author-homepage/douyin-video/6871549993585475587?market_track_id=RH48477MKB1VR1UNYGCS&amp;search_session_id=7550217075030884391&amp;possessStarId"/>
    <hyperlink ref="G13" r:id="rId34" display="https://www.xingtu.cn/ad/creator/author-homepage/douyin-video/6760484915038388231?market_track_id=D2I814U0YF0H0S78V4NX&amp;search_session_id=7550217255607664679&amp;possessStarId"/>
    <hyperlink ref="G15" r:id="rId35" display="https://www.xingtu.cn/ad/creator/author-homepage/douyin-video/6615821710526513155?market_track_id=J9CDG8ZG8UK9OYQGJ5M5&amp;search_session_id=7550217578959552566&amp;possessStarId"/>
    <hyperlink ref="G16" r:id="rId36" display="https://www.xingtu.cn/ad/creator/author-homepage/douyin-video/6870161239037706253?market_track_id=KGDOIV1C637VKVSO8BCI&amp;search_session_id=7550218122440671274&amp;possessStarId"/>
    <hyperlink ref="G17" r:id="rId37" display="https://www.xingtu.cn/ad/creator/author-homepage/douyin-video/6939042595356016652?market_track_id=RLBNH1FQESPB8C52YN6Q&amp;search_session_id=7550218385226334251&amp;possessStarId"/>
    <hyperlink ref="G18" r:id="rId38" display="https://www.xingtu.cn/ad/creator/author-homepage/douyin-video/6640252091245789188?market_track_id=JNL5RRSOVC13VRKRVW2N&amp;search_session_id=7550218554697433107&amp;possessStarId"/>
    <hyperlink ref="G20" r:id="rId39" display="https://www.xingtu.cn/ad/creator/author-homepage/douyin-video/6629723424748994564?market_track_id=YXGB38SFJ1L77C44WCD0&amp;search_session_id=7550218778458472511&amp;possessStarId"/>
    <hyperlink ref="G21" r:id="rId40" display="https://www.xingtu.cn/ad/creator/author-homepage/douyin-video/7237162630903758881?market_track_id=K0JCD31RB8NPRC5GRY4H&amp;search_session_id=7550218956808880170&amp;possessStarId"/>
    <hyperlink ref="G22" r:id="rId41" display="https://www.xingtu.cn/ad/creator/author-homepage/douyin-video/6596679478083059716?market_track_id=YRGBT4HZY5V5CK4RMLOT&amp;search_session_id=7550219100434202643&amp;possessStarId"/>
    <hyperlink ref="G23" r:id="rId42" display="https://www.xingtu.cn/ad/creator/author-homepage/douyin-video/6629661007348236302?market_track_id=FFE8SV4SP2U10W5XYRKU&amp;search_session_id=7550219239991345195&amp;possessStarId"/>
    <hyperlink ref="G24" r:id="rId43" display="https://www.xingtu.cn/ad/creator/author-homepage/douyin-video/6677157331165249539?market_track_id=TC09IWAFYQRVSS5KRSSL&amp;search_session_id=7550219394329231403&amp;possessStarId"/>
    <hyperlink ref="G25" r:id="rId44" display="https://www.xingtu.cn/ad/creator/author-homepage/douyin-video/7001886618818707491?market_track_id=PA8P24MD9ZNXK2NVY5FY&amp;search_session_id=7550219864423481387&amp;possessStarId"/>
    <hyperlink ref="G26" r:id="rId45" display="https://www.xingtu.cn/ad/creator/author-homepage/douyin-video/6870164604043919367?market_track_id=KCUK9D94UPOOJ5HYMO6W&amp;search_session_id=7550219973672501291&amp;possessStarId"/>
    <hyperlink ref="G27" r:id="rId46" display="https://www.xingtu.cn/ad/creator/author-homepage/douyin-video/7281638336735739943?market_track_id=8GK099J7N7JPB8RYHF8U&amp;search_session_id=7550220054031089703&amp;possessStarId"/>
    <hyperlink ref="G29" r:id="rId47" display="https://www.xingtu.cn/ad/creator/author-homepage/douyin-video/7062567598881243151?market_track_id=JH9AXT9UZ5CVRQUTBKEH&amp;search_session_id=7550220484609982506&amp;possessStarId"/>
    <hyperlink ref="G30" r:id="rId48" display="https://www.xingtu.cn/ad/creator/author-homepage/douyin-video/7283823086028193803?market_track_id=2LT707YXXASNCHJM9C3E&amp;search_session_id=7550220625697620010&amp;possessStarId"/>
    <hyperlink ref="G31" r:id="rId49" display="https://www.xingtu.cn/ad/creator/author-homepage/douyin-video/7270472015461482554?market_track_id=YRQZCKGS6C6XRPVJ5T7Y&amp;search_session_id=7550220784732897316&amp;possessStarId"/>
    <hyperlink ref="F19" r:id="rId50" display="https://v.douyin.com/BbNG319/"/>
    <hyperlink ref="G19" r:id="rId51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5" r:id="rId52" display="https://v.douyin.com/UYCTfS6/"/>
    <hyperlink ref="G5" r:id="rId53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3" r:id="rId54" display="https://v.douyin.com/NYLLwJm/"/>
    <hyperlink ref="G3" r:id="rId55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14" r:id="rId56" display="https://v.douyin.com/SfXQxQL349E/ 7@4.com"/>
    <hyperlink ref="G14" r:id="rId57" display="https://www.xingtu.cn/ad/creator/author-homepage/douyin-video/6675972478684102659?market_track_id=8VVIMQRXFNYSWMG59N6B&amp;search_session_id=7516811288732237887&amp;possessStarId"/>
    <hyperlink ref="F28" r:id="rId58" display="https://v.douyin.com/LHVzqqbKBpE/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视频号</vt:lpstr>
      <vt:lpstr>快手</vt:lpstr>
      <vt:lpstr>B站</vt:lpstr>
      <vt:lpstr>懂车帝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2026-03-02T08:38:19Z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A746A39B9EE545E688C9EF5CAD6A6859_13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